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5293CCC6-5AF3-485D-86F5-A44DEE2237CD}" xr6:coauthVersionLast="37" xr6:coauthVersionMax="45" xr10:uidLastSave="{00000000-0000-0000-0000-000000000000}"/>
  <bookViews>
    <workbookView xWindow="0" yWindow="0" windowWidth="24000" windowHeight="9525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J677" i="18" l="1"/>
  <c r="J676" i="18"/>
  <c r="J675" i="18"/>
  <c r="J674" i="18"/>
  <c r="J673" i="18"/>
  <c r="J672" i="18"/>
  <c r="N671" i="18"/>
  <c r="L671" i="18"/>
  <c r="I671" i="18"/>
  <c r="J670" i="18"/>
  <c r="J669" i="18"/>
  <c r="N668" i="18"/>
  <c r="L668" i="18"/>
  <c r="J668" i="18"/>
  <c r="I668" i="18"/>
  <c r="J667" i="18"/>
  <c r="J666" i="18"/>
  <c r="N665" i="18"/>
  <c r="L665" i="18"/>
  <c r="J665" i="18"/>
  <c r="I665" i="18"/>
  <c r="J663" i="18"/>
  <c r="I663" i="18"/>
  <c r="J662" i="18"/>
  <c r="N661" i="18"/>
  <c r="L661" i="18"/>
  <c r="J661" i="18"/>
  <c r="J660" i="18"/>
  <c r="J659" i="18"/>
  <c r="J658" i="18"/>
  <c r="J657" i="18"/>
  <c r="J656" i="18"/>
  <c r="J655" i="18"/>
  <c r="J653" i="18"/>
  <c r="J652" i="18"/>
  <c r="N651" i="18"/>
  <c r="L651" i="18"/>
  <c r="I651" i="18"/>
  <c r="N650" i="18"/>
  <c r="L650" i="18"/>
  <c r="J650" i="18"/>
  <c r="I650" i="18"/>
  <c r="N649" i="18"/>
  <c r="L649" i="18"/>
  <c r="O649" i="18" s="1"/>
  <c r="J649" i="18"/>
  <c r="I649" i="18"/>
  <c r="K649" i="18" s="1"/>
  <c r="N648" i="18"/>
  <c r="L648" i="18"/>
  <c r="O648" i="18" s="1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5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N457" i="18"/>
  <c r="L457" i="18"/>
  <c r="N456" i="18"/>
  <c r="L456" i="18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P330" i="18"/>
  <c r="N330" i="18"/>
  <c r="M330" i="18"/>
  <c r="L330" i="18"/>
  <c r="O330" i="18" s="1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L316" i="18"/>
  <c r="L315" i="18"/>
  <c r="N314" i="18"/>
  <c r="M314" i="18"/>
  <c r="M312" i="18" s="1"/>
  <c r="O313" i="18"/>
  <c r="P311" i="18"/>
  <c r="N311" i="18"/>
  <c r="M311" i="18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M292" i="18" s="1"/>
  <c r="O293" i="18"/>
  <c r="O291" i="18"/>
  <c r="N291" i="18"/>
  <c r="M291" i="18"/>
  <c r="P291" i="18" s="1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L277" i="18"/>
  <c r="L276" i="18"/>
  <c r="N275" i="18"/>
  <c r="M275" i="18"/>
  <c r="M273" i="18" s="1"/>
  <c r="O274" i="18"/>
  <c r="O272" i="18"/>
  <c r="N272" i="18"/>
  <c r="M272" i="18"/>
  <c r="L272" i="18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L256" i="18"/>
  <c r="L255" i="18"/>
  <c r="N254" i="18"/>
  <c r="M254" i="18"/>
  <c r="O253" i="18"/>
  <c r="P251" i="18"/>
  <c r="N251" i="18"/>
  <c r="M251" i="18"/>
  <c r="L251" i="18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N221" i="18"/>
  <c r="M221" i="18"/>
  <c r="P221" i="18" s="1"/>
  <c r="L221" i="18"/>
  <c r="O221" i="18" s="1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O143" i="18"/>
  <c r="P141" i="18"/>
  <c r="N141" i="18"/>
  <c r="M141" i="18"/>
  <c r="L141" i="18"/>
  <c r="O141" i="18" s="1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O119" i="18"/>
  <c r="N119" i="18"/>
  <c r="M119" i="18"/>
  <c r="P119" i="18" s="1"/>
  <c r="L119" i="18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L100" i="18"/>
  <c r="L99" i="18"/>
  <c r="N98" i="18"/>
  <c r="M98" i="18"/>
  <c r="O97" i="18"/>
  <c r="P95" i="18"/>
  <c r="N95" i="18"/>
  <c r="M95" i="18"/>
  <c r="L95" i="18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O69" i="18"/>
  <c r="O67" i="18"/>
  <c r="N67" i="18"/>
  <c r="M67" i="18"/>
  <c r="P67" i="18" s="1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M53" i="18" s="1"/>
  <c r="P54" i="18"/>
  <c r="N54" i="18"/>
  <c r="M54" i="18"/>
  <c r="L54" i="18"/>
  <c r="N49" i="18"/>
  <c r="L49" i="18"/>
  <c r="L47" i="18"/>
  <c r="L46" i="18"/>
  <c r="N45" i="18"/>
  <c r="M45" i="18"/>
  <c r="P42" i="18"/>
  <c r="N42" i="18"/>
  <c r="M42" i="18"/>
  <c r="L42" i="18"/>
  <c r="O42" i="18" s="1"/>
  <c r="P36" i="18"/>
  <c r="O36" i="18"/>
  <c r="P35" i="18"/>
  <c r="O35" i="18"/>
  <c r="M34" i="18"/>
  <c r="P34" i="18" s="1"/>
  <c r="P33" i="18"/>
  <c r="M33" i="18"/>
  <c r="P32" i="18"/>
  <c r="M32" i="18"/>
  <c r="P31" i="18"/>
  <c r="M31" i="18"/>
  <c r="P30" i="18"/>
  <c r="M30" i="18"/>
  <c r="M29" i="18"/>
  <c r="P25" i="18"/>
  <c r="O25" i="18"/>
  <c r="N25" i="18"/>
  <c r="N15" i="18" s="1"/>
  <c r="M25" i="18"/>
  <c r="L25" i="18"/>
  <c r="L15" i="18" s="1"/>
  <c r="O15" i="18" s="1"/>
  <c r="N24" i="18"/>
  <c r="M24" i="18"/>
  <c r="P23" i="18"/>
  <c r="N23" i="18"/>
  <c r="M23" i="18"/>
  <c r="N21" i="18"/>
  <c r="M21" i="18"/>
  <c r="L21" i="18"/>
  <c r="L19" i="18" s="1"/>
  <c r="M15" i="18"/>
  <c r="P15" i="18" s="1"/>
  <c r="M13" i="18"/>
  <c r="P13" i="18" s="1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O651" i="17" s="1"/>
  <c r="I651" i="17"/>
  <c r="K651" i="17" s="1"/>
  <c r="N650" i="17"/>
  <c r="L650" i="17"/>
  <c r="J650" i="17"/>
  <c r="I650" i="17"/>
  <c r="N649" i="17"/>
  <c r="L649" i="17"/>
  <c r="O649" i="17" s="1"/>
  <c r="J649" i="17"/>
  <c r="I649" i="17"/>
  <c r="K649" i="17" s="1"/>
  <c r="N648" i="17"/>
  <c r="L648" i="17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N404" i="17"/>
  <c r="L404" i="17"/>
  <c r="N403" i="17"/>
  <c r="L403" i="17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O330" i="17"/>
  <c r="N330" i="17"/>
  <c r="M330" i="17"/>
  <c r="P330" i="17" s="1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M312" i="17" s="1"/>
  <c r="O313" i="17"/>
  <c r="P311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P291" i="17"/>
  <c r="O291" i="17"/>
  <c r="N291" i="17"/>
  <c r="M291" i="17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P272" i="17"/>
  <c r="N272" i="17"/>
  <c r="M272" i="17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P251" i="17"/>
  <c r="O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P221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M140" i="17" s="1"/>
  <c r="O143" i="17"/>
  <c r="N141" i="17"/>
  <c r="M141" i="17"/>
  <c r="P141" i="17" s="1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N119" i="17"/>
  <c r="M119" i="17"/>
  <c r="P119" i="17" s="1"/>
  <c r="L119" i="17"/>
  <c r="O119" i="17" s="1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M102" i="17" s="1"/>
  <c r="L100" i="17"/>
  <c r="L99" i="17"/>
  <c r="N98" i="17"/>
  <c r="M98" i="17"/>
  <c r="O97" i="17"/>
  <c r="O95" i="17"/>
  <c r="N95" i="17"/>
  <c r="M95" i="17"/>
  <c r="P95" i="17" s="1"/>
  <c r="L95" i="17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O74" i="17" s="1"/>
  <c r="L72" i="17"/>
  <c r="L71" i="17"/>
  <c r="N70" i="17"/>
  <c r="M70" i="17"/>
  <c r="P70" i="17" s="1"/>
  <c r="O69" i="17"/>
  <c r="N67" i="17"/>
  <c r="M67" i="17"/>
  <c r="L67" i="17"/>
  <c r="O67" i="17" s="1"/>
  <c r="J65" i="17"/>
  <c r="I65" i="17"/>
  <c r="K65" i="17" s="1"/>
  <c r="J64" i="17"/>
  <c r="I64" i="17"/>
  <c r="K64" i="17" s="1"/>
  <c r="N61" i="17"/>
  <c r="L61" i="17"/>
  <c r="O61" i="17" s="1"/>
  <c r="L59" i="17"/>
  <c r="L58" i="17"/>
  <c r="N57" i="17"/>
  <c r="M57" i="17"/>
  <c r="M55" i="17" s="1"/>
  <c r="N54" i="17"/>
  <c r="M54" i="17"/>
  <c r="P54" i="17" s="1"/>
  <c r="L54" i="17"/>
  <c r="O54" i="17" s="1"/>
  <c r="N49" i="17"/>
  <c r="L49" i="17"/>
  <c r="L47" i="17"/>
  <c r="L46" i="17"/>
  <c r="N45" i="17"/>
  <c r="M45" i="17"/>
  <c r="P42" i="17"/>
  <c r="O42" i="17"/>
  <c r="N42" i="17"/>
  <c r="M42" i="17"/>
  <c r="L42" i="17"/>
  <c r="P36" i="17"/>
  <c r="O36" i="17"/>
  <c r="P35" i="17"/>
  <c r="O35" i="17"/>
  <c r="P34" i="17"/>
  <c r="M34" i="17"/>
  <c r="P33" i="17"/>
  <c r="M33" i="17"/>
  <c r="P32" i="17"/>
  <c r="M32" i="17"/>
  <c r="M31" i="17"/>
  <c r="P31" i="17" s="1"/>
  <c r="M30" i="17"/>
  <c r="P30" i="17" s="1"/>
  <c r="M29" i="17"/>
  <c r="P25" i="17"/>
  <c r="O25" i="17"/>
  <c r="N25" i="17"/>
  <c r="N15" i="17" s="1"/>
  <c r="M25" i="17"/>
  <c r="L25" i="17"/>
  <c r="N24" i="17"/>
  <c r="M24" i="17"/>
  <c r="P24" i="17" s="1"/>
  <c r="N23" i="17"/>
  <c r="M23" i="17"/>
  <c r="P21" i="17"/>
  <c r="N21" i="17"/>
  <c r="M21" i="17"/>
  <c r="L21" i="17"/>
  <c r="P19" i="17"/>
  <c r="N19" i="17"/>
  <c r="M19" i="17"/>
  <c r="M15" i="17"/>
  <c r="P15" i="17" s="1"/>
  <c r="L15" i="17"/>
  <c r="O15" i="17" s="1"/>
  <c r="M11" i="17"/>
  <c r="P11" i="17" s="1"/>
  <c r="M9" i="17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J665" i="16"/>
  <c r="I665" i="16"/>
  <c r="K665" i="16" s="1"/>
  <c r="J663" i="16"/>
  <c r="I663" i="16"/>
  <c r="J662" i="16"/>
  <c r="N661" i="16"/>
  <c r="L661" i="16"/>
  <c r="J661" i="16"/>
  <c r="J660" i="16"/>
  <c r="J659" i="16"/>
  <c r="J658" i="16"/>
  <c r="J657" i="16"/>
  <c r="J656" i="16"/>
  <c r="J655" i="16"/>
  <c r="J653" i="16"/>
  <c r="J652" i="16"/>
  <c r="N651" i="16"/>
  <c r="L651" i="16"/>
  <c r="I651" i="16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O648" i="16" s="1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O337" i="16" s="1"/>
  <c r="L335" i="16"/>
  <c r="L334" i="16"/>
  <c r="N333" i="16"/>
  <c r="M333" i="16"/>
  <c r="M331" i="16" s="1"/>
  <c r="O332" i="16"/>
  <c r="N330" i="16"/>
  <c r="M330" i="16"/>
  <c r="P330" i="16" s="1"/>
  <c r="L330" i="16"/>
  <c r="O330" i="16" s="1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O313" i="16"/>
  <c r="P311" i="16"/>
  <c r="O311" i="16"/>
  <c r="N311" i="16"/>
  <c r="M311" i="16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P294" i="16" s="1"/>
  <c r="O293" i="16"/>
  <c r="O291" i="16"/>
  <c r="N291" i="16"/>
  <c r="M291" i="16"/>
  <c r="P291" i="16" s="1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P272" i="16"/>
  <c r="O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P251" i="16"/>
  <c r="O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O223" i="16"/>
  <c r="O221" i="16"/>
  <c r="N221" i="16"/>
  <c r="M221" i="16"/>
  <c r="P221" i="16" s="1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N141" i="16"/>
  <c r="M141" i="16"/>
  <c r="P141" i="16" s="1"/>
  <c r="L141" i="16"/>
  <c r="O141" i="16" s="1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L124" i="16"/>
  <c r="L123" i="16"/>
  <c r="N122" i="16"/>
  <c r="M122" i="16"/>
  <c r="M120" i="16" s="1"/>
  <c r="O121" i="16"/>
  <c r="N119" i="16"/>
  <c r="M119" i="16"/>
  <c r="L119" i="16"/>
  <c r="O119" i="16" s="1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P98" i="16" s="1"/>
  <c r="O97" i="16"/>
  <c r="P95" i="16"/>
  <c r="N95" i="16"/>
  <c r="M95" i="16"/>
  <c r="L95" i="16"/>
  <c r="J93" i="16"/>
  <c r="I93" i="16"/>
  <c r="K93" i="16" s="1"/>
  <c r="J92" i="16"/>
  <c r="I92" i="16"/>
  <c r="K92" i="16" s="1"/>
  <c r="J90" i="16"/>
  <c r="J89" i="16"/>
  <c r="J88" i="16"/>
  <c r="I88" i="16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M74" i="16" s="1"/>
  <c r="L72" i="16"/>
  <c r="L71" i="16"/>
  <c r="N70" i="16"/>
  <c r="M70" i="16"/>
  <c r="O69" i="16"/>
  <c r="N67" i="16"/>
  <c r="M67" i="16"/>
  <c r="L67" i="16"/>
  <c r="O67" i="16" s="1"/>
  <c r="J65" i="16"/>
  <c r="I65" i="16"/>
  <c r="J64" i="16"/>
  <c r="I64" i="16"/>
  <c r="N61" i="16"/>
  <c r="L61" i="16"/>
  <c r="O61" i="16" s="1"/>
  <c r="L59" i="16"/>
  <c r="L58" i="16"/>
  <c r="N57" i="16"/>
  <c r="M57" i="16"/>
  <c r="M55" i="16" s="1"/>
  <c r="M53" i="16" s="1"/>
  <c r="N54" i="16"/>
  <c r="M54" i="16"/>
  <c r="P54" i="16" s="1"/>
  <c r="L54" i="16"/>
  <c r="N49" i="16"/>
  <c r="L49" i="16"/>
  <c r="L47" i="16"/>
  <c r="L46" i="16"/>
  <c r="N45" i="16"/>
  <c r="M45" i="16"/>
  <c r="P42" i="16"/>
  <c r="O42" i="16"/>
  <c r="N42" i="16"/>
  <c r="M42" i="16"/>
  <c r="L42" i="16"/>
  <c r="P36" i="16"/>
  <c r="O36" i="16"/>
  <c r="P35" i="16"/>
  <c r="O35" i="16"/>
  <c r="P34" i="16"/>
  <c r="M34" i="16"/>
  <c r="P33" i="16"/>
  <c r="M33" i="16"/>
  <c r="P32" i="16"/>
  <c r="M32" i="16"/>
  <c r="M31" i="16"/>
  <c r="M30" i="16"/>
  <c r="P30" i="16" s="1"/>
  <c r="M29" i="16"/>
  <c r="P25" i="16"/>
  <c r="O25" i="16"/>
  <c r="N25" i="16"/>
  <c r="N15" i="16" s="1"/>
  <c r="M25" i="16"/>
  <c r="L25" i="16"/>
  <c r="N24" i="16"/>
  <c r="M24" i="16"/>
  <c r="N23" i="16"/>
  <c r="M23" i="16"/>
  <c r="P21" i="16"/>
  <c r="O21" i="16"/>
  <c r="N21" i="16"/>
  <c r="M21" i="16"/>
  <c r="L21" i="16"/>
  <c r="L19" i="16" s="1"/>
  <c r="P19" i="16"/>
  <c r="O19" i="16"/>
  <c r="N19" i="16"/>
  <c r="M19" i="16"/>
  <c r="M15" i="16"/>
  <c r="P15" i="16" s="1"/>
  <c r="L15" i="16"/>
  <c r="O15" i="16" s="1"/>
  <c r="J677" i="15"/>
  <c r="J676" i="15"/>
  <c r="J675" i="15"/>
  <c r="J674" i="15"/>
  <c r="J673" i="15"/>
  <c r="J672" i="15"/>
  <c r="N671" i="15"/>
  <c r="L671" i="15"/>
  <c r="I671" i="15"/>
  <c r="J670" i="15"/>
  <c r="J669" i="15"/>
  <c r="N668" i="15"/>
  <c r="L668" i="15"/>
  <c r="J668" i="15"/>
  <c r="I668" i="15"/>
  <c r="J667" i="15"/>
  <c r="J666" i="15"/>
  <c r="N665" i="15"/>
  <c r="L665" i="15"/>
  <c r="J665" i="15"/>
  <c r="I665" i="15"/>
  <c r="J663" i="15"/>
  <c r="I663" i="15"/>
  <c r="J662" i="15"/>
  <c r="N661" i="15"/>
  <c r="L661" i="15"/>
  <c r="J661" i="15"/>
  <c r="J660" i="15"/>
  <c r="J659" i="15"/>
  <c r="J658" i="15"/>
  <c r="J657" i="15"/>
  <c r="J656" i="15"/>
  <c r="J655" i="15"/>
  <c r="J653" i="15"/>
  <c r="J652" i="15"/>
  <c r="N651" i="15"/>
  <c r="L651" i="15"/>
  <c r="I651" i="15"/>
  <c r="N650" i="15"/>
  <c r="L650" i="15"/>
  <c r="J650" i="15"/>
  <c r="I650" i="15"/>
  <c r="N649" i="15"/>
  <c r="L649" i="15"/>
  <c r="J649" i="15"/>
  <c r="I649" i="15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1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P330" i="15"/>
  <c r="O330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N311" i="15"/>
  <c r="M311" i="15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P294" i="15" s="1"/>
  <c r="O293" i="15"/>
  <c r="P291" i="15"/>
  <c r="N291" i="15"/>
  <c r="M291" i="15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N272" i="15"/>
  <c r="M272" i="15"/>
  <c r="P272" i="15" s="1"/>
  <c r="L272" i="15"/>
  <c r="O272" i="15" s="1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M254" i="15"/>
  <c r="P254" i="15" s="1"/>
  <c r="O253" i="15"/>
  <c r="N251" i="15"/>
  <c r="M251" i="15"/>
  <c r="L251" i="15"/>
  <c r="O251" i="15" s="1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N221" i="15"/>
  <c r="M221" i="15"/>
  <c r="L221" i="15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L146" i="15"/>
  <c r="L145" i="15"/>
  <c r="N144" i="15"/>
  <c r="M144" i="15"/>
  <c r="O143" i="15"/>
  <c r="N141" i="15"/>
  <c r="M141" i="15"/>
  <c r="L141" i="15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P119" i="15"/>
  <c r="O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P98" i="15" s="1"/>
  <c r="O97" i="15"/>
  <c r="P95" i="15"/>
  <c r="O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O67" i="15"/>
  <c r="N67" i="15"/>
  <c r="M67" i="15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P54" i="15"/>
  <c r="O54" i="15"/>
  <c r="N54" i="15"/>
  <c r="M54" i="15"/>
  <c r="L54" i="15"/>
  <c r="N49" i="15"/>
  <c r="L49" i="15"/>
  <c r="O49" i="15" s="1"/>
  <c r="L47" i="15"/>
  <c r="L46" i="15"/>
  <c r="N45" i="15"/>
  <c r="M45" i="15"/>
  <c r="P42" i="15"/>
  <c r="O42" i="15"/>
  <c r="N42" i="15"/>
  <c r="M42" i="15"/>
  <c r="L42" i="15"/>
  <c r="P36" i="15"/>
  <c r="O36" i="15"/>
  <c r="P35" i="15"/>
  <c r="O35" i="15"/>
  <c r="P34" i="15"/>
  <c r="M34" i="15"/>
  <c r="P33" i="15"/>
  <c r="M33" i="15"/>
  <c r="P32" i="15"/>
  <c r="M32" i="15"/>
  <c r="P31" i="15"/>
  <c r="M31" i="15"/>
  <c r="M30" i="15"/>
  <c r="P30" i="15" s="1"/>
  <c r="M29" i="15"/>
  <c r="P29" i="15" s="1"/>
  <c r="P28" i="15"/>
  <c r="M28" i="15"/>
  <c r="P25" i="15"/>
  <c r="O25" i="15"/>
  <c r="N25" i="15"/>
  <c r="N19" i="15" s="1"/>
  <c r="M25" i="15"/>
  <c r="L25" i="15"/>
  <c r="P24" i="15"/>
  <c r="N24" i="15"/>
  <c r="M24" i="15"/>
  <c r="N23" i="15"/>
  <c r="M23" i="15"/>
  <c r="N21" i="15"/>
  <c r="M21" i="15"/>
  <c r="L21" i="15"/>
  <c r="M15" i="15"/>
  <c r="P15" i="15" s="1"/>
  <c r="L15" i="15"/>
  <c r="O15" i="15" s="1"/>
  <c r="M14" i="15"/>
  <c r="P14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6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P330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N311" i="14"/>
  <c r="M311" i="14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P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N272" i="14"/>
  <c r="M272" i="14"/>
  <c r="P272" i="14" s="1"/>
  <c r="L272" i="14"/>
  <c r="O272" i="14" s="1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L256" i="14"/>
  <c r="L255" i="14"/>
  <c r="N254" i="14"/>
  <c r="M254" i="14"/>
  <c r="P254" i="14" s="1"/>
  <c r="O253" i="14"/>
  <c r="N251" i="14"/>
  <c r="M251" i="14"/>
  <c r="L251" i="14"/>
  <c r="O251" i="14" s="1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P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M140" i="14" s="1"/>
  <c r="O143" i="14"/>
  <c r="P141" i="14"/>
  <c r="O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O119" i="14"/>
  <c r="N119" i="14"/>
  <c r="M119" i="14"/>
  <c r="L119" i="14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M102" i="14" s="1"/>
  <c r="L100" i="14"/>
  <c r="L99" i="14"/>
  <c r="N98" i="14"/>
  <c r="M98" i="14"/>
  <c r="O97" i="14"/>
  <c r="P95" i="14"/>
  <c r="O95" i="14"/>
  <c r="N95" i="14"/>
  <c r="M95" i="14"/>
  <c r="L95" i="14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O69" i="14"/>
  <c r="O67" i="14"/>
  <c r="N67" i="14"/>
  <c r="M67" i="14"/>
  <c r="P67" i="14" s="1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P54" i="14"/>
  <c r="O54" i="14"/>
  <c r="N54" i="14"/>
  <c r="M54" i="14"/>
  <c r="L54" i="14"/>
  <c r="N49" i="14"/>
  <c r="L49" i="14"/>
  <c r="O49" i="14" s="1"/>
  <c r="L47" i="14"/>
  <c r="L46" i="14"/>
  <c r="N45" i="14"/>
  <c r="M45" i="14"/>
  <c r="M43" i="14" s="1"/>
  <c r="P42" i="14"/>
  <c r="O42" i="14"/>
  <c r="N42" i="14"/>
  <c r="M42" i="14"/>
  <c r="L42" i="14"/>
  <c r="P36" i="14"/>
  <c r="O36" i="14"/>
  <c r="P35" i="14"/>
  <c r="O35" i="14"/>
  <c r="M34" i="14"/>
  <c r="P33" i="14"/>
  <c r="M33" i="14"/>
  <c r="P32" i="14"/>
  <c r="M32" i="14"/>
  <c r="M31" i="14"/>
  <c r="P31" i="14" s="1"/>
  <c r="M30" i="14"/>
  <c r="P30" i="14" s="1"/>
  <c r="P25" i="14"/>
  <c r="O25" i="14"/>
  <c r="N25" i="14"/>
  <c r="N19" i="14" s="1"/>
  <c r="M25" i="14"/>
  <c r="L25" i="14"/>
  <c r="P24" i="14"/>
  <c r="N24" i="14"/>
  <c r="M24" i="14"/>
  <c r="N23" i="14"/>
  <c r="M23" i="14"/>
  <c r="P21" i="14"/>
  <c r="N21" i="14"/>
  <c r="M21" i="14"/>
  <c r="M19" i="14" s="1"/>
  <c r="P19" i="14" s="1"/>
  <c r="L21" i="14"/>
  <c r="N15" i="14"/>
  <c r="M15" i="14"/>
  <c r="P15" i="14" s="1"/>
  <c r="L15" i="14"/>
  <c r="O15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5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M337" i="13" s="1"/>
  <c r="M26" i="13" s="1"/>
  <c r="L335" i="13"/>
  <c r="L334" i="13"/>
  <c r="N333" i="13"/>
  <c r="M333" i="13"/>
  <c r="O332" i="13"/>
  <c r="O330" i="13"/>
  <c r="N330" i="13"/>
  <c r="M330" i="13"/>
  <c r="P330" i="13" s="1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M312" i="13" s="1"/>
  <c r="P312" i="13" s="1"/>
  <c r="O313" i="13"/>
  <c r="P311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P291" i="13"/>
  <c r="O291" i="13"/>
  <c r="N291" i="13"/>
  <c r="M291" i="13"/>
  <c r="L291" i="13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P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P251" i="13"/>
  <c r="O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P221" i="13"/>
  <c r="O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M140" i="13" s="1"/>
  <c r="O143" i="13"/>
  <c r="O141" i="13"/>
  <c r="N141" i="13"/>
  <c r="M141" i="13"/>
  <c r="P141" i="13" s="1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N119" i="13"/>
  <c r="M119" i="13"/>
  <c r="P119" i="13" s="1"/>
  <c r="L119" i="13"/>
  <c r="O119" i="13" s="1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N95" i="13"/>
  <c r="M95" i="13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P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N54" i="13"/>
  <c r="M54" i="13"/>
  <c r="L54" i="13"/>
  <c r="O54" i="13" s="1"/>
  <c r="N49" i="13"/>
  <c r="L49" i="13"/>
  <c r="O49" i="13" s="1"/>
  <c r="L47" i="13"/>
  <c r="L46" i="13"/>
  <c r="N45" i="13"/>
  <c r="M45" i="13"/>
  <c r="M43" i="13" s="1"/>
  <c r="N42" i="13"/>
  <c r="M42" i="13"/>
  <c r="L42" i="13"/>
  <c r="O42" i="13" s="1"/>
  <c r="P36" i="13"/>
  <c r="O36" i="13"/>
  <c r="P35" i="13"/>
  <c r="O35" i="13"/>
  <c r="M34" i="13"/>
  <c r="P34" i="13" s="1"/>
  <c r="M33" i="13"/>
  <c r="M32" i="13"/>
  <c r="P31" i="13"/>
  <c r="M31" i="13"/>
  <c r="P29" i="13"/>
  <c r="M29" i="13"/>
  <c r="N25" i="13"/>
  <c r="M25" i="13"/>
  <c r="L25" i="13"/>
  <c r="P24" i="13"/>
  <c r="N24" i="13"/>
  <c r="M24" i="13"/>
  <c r="P23" i="13"/>
  <c r="N23" i="13"/>
  <c r="M23" i="13"/>
  <c r="O21" i="13"/>
  <c r="N21" i="13"/>
  <c r="M21" i="13"/>
  <c r="P21" i="13" s="1"/>
  <c r="L21" i="13"/>
  <c r="M19" i="13"/>
  <c r="L19" i="13"/>
  <c r="O19" i="13" s="1"/>
  <c r="N15" i="13"/>
  <c r="M14" i="13"/>
  <c r="P14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J665" i="12"/>
  <c r="I665" i="12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O648" i="12" s="1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5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O332" i="12"/>
  <c r="N330" i="12"/>
  <c r="M330" i="12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L316" i="12"/>
  <c r="L315" i="12"/>
  <c r="N314" i="12"/>
  <c r="M314" i="12"/>
  <c r="O313" i="12"/>
  <c r="O311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N291" i="12"/>
  <c r="M291" i="12"/>
  <c r="P291" i="12" s="1"/>
  <c r="L291" i="12"/>
  <c r="O291" i="12" s="1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O274" i="12"/>
  <c r="P272" i="12"/>
  <c r="O272" i="12"/>
  <c r="N272" i="12"/>
  <c r="M272" i="12"/>
  <c r="L272" i="12"/>
  <c r="J270" i="12"/>
  <c r="I270" i="12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O251" i="12"/>
  <c r="N251" i="12"/>
  <c r="M251" i="12"/>
  <c r="P251" i="12" s="1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M220" i="12" s="1"/>
  <c r="O223" i="12"/>
  <c r="N221" i="12"/>
  <c r="M221" i="12"/>
  <c r="P221" i="12" s="1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N141" i="12"/>
  <c r="M141" i="12"/>
  <c r="L141" i="12"/>
  <c r="O141" i="12" s="1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O121" i="12"/>
  <c r="P119" i="12"/>
  <c r="N119" i="12"/>
  <c r="M119" i="12"/>
  <c r="L119" i="12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P95" i="12"/>
  <c r="N95" i="12"/>
  <c r="M95" i="12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L72" i="12"/>
  <c r="L71" i="12"/>
  <c r="N70" i="12"/>
  <c r="M70" i="12"/>
  <c r="P70" i="12" s="1"/>
  <c r="O69" i="12"/>
  <c r="N67" i="12"/>
  <c r="M67" i="12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O54" i="12"/>
  <c r="N54" i="12"/>
  <c r="M54" i="12"/>
  <c r="P54" i="12" s="1"/>
  <c r="L54" i="12"/>
  <c r="N49" i="12"/>
  <c r="L49" i="12"/>
  <c r="L47" i="12"/>
  <c r="L46" i="12"/>
  <c r="N45" i="12"/>
  <c r="M45" i="12"/>
  <c r="P42" i="12"/>
  <c r="O42" i="12"/>
  <c r="N42" i="12"/>
  <c r="M42" i="12"/>
  <c r="L42" i="12"/>
  <c r="P36" i="12"/>
  <c r="O36" i="12"/>
  <c r="P35" i="12"/>
  <c r="O35" i="12"/>
  <c r="M34" i="12"/>
  <c r="P33" i="12"/>
  <c r="M33" i="12"/>
  <c r="P32" i="12"/>
  <c r="M32" i="12"/>
  <c r="M31" i="12"/>
  <c r="P31" i="12" s="1"/>
  <c r="M30" i="12"/>
  <c r="P30" i="12" s="1"/>
  <c r="M29" i="12"/>
  <c r="P25" i="12"/>
  <c r="O25" i="12"/>
  <c r="N25" i="12"/>
  <c r="M25" i="12"/>
  <c r="L25" i="12"/>
  <c r="P24" i="12"/>
  <c r="N24" i="12"/>
  <c r="M24" i="12"/>
  <c r="N23" i="12"/>
  <c r="M23" i="12"/>
  <c r="P23" i="12" s="1"/>
  <c r="P21" i="12"/>
  <c r="N21" i="12"/>
  <c r="M21" i="12"/>
  <c r="M19" i="12" s="1"/>
  <c r="P19" i="12" s="1"/>
  <c r="L21" i="12"/>
  <c r="N19" i="12"/>
  <c r="O15" i="12"/>
  <c r="N15" i="12"/>
  <c r="M15" i="12"/>
  <c r="P15" i="12" s="1"/>
  <c r="L15" i="12"/>
  <c r="M13" i="12"/>
  <c r="P13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J649" i="11"/>
  <c r="I649" i="11"/>
  <c r="N648" i="11"/>
  <c r="L648" i="11"/>
  <c r="J648" i="11"/>
  <c r="I648" i="1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N383" i="11"/>
  <c r="L383" i="11"/>
  <c r="N382" i="11"/>
  <c r="L382" i="1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O313" i="11"/>
  <c r="O311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N291" i="11"/>
  <c r="M291" i="11"/>
  <c r="P291" i="11" s="1"/>
  <c r="L291" i="11"/>
  <c r="O291" i="11" s="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P272" i="11"/>
  <c r="O272" i="11"/>
  <c r="N272" i="11"/>
  <c r="M272" i="11"/>
  <c r="L272" i="1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O258" i="11" s="1"/>
  <c r="L256" i="11"/>
  <c r="L255" i="11"/>
  <c r="N254" i="11"/>
  <c r="M254" i="11"/>
  <c r="M252" i="11" s="1"/>
  <c r="O253" i="11"/>
  <c r="O251" i="11"/>
  <c r="N251" i="11"/>
  <c r="M251" i="11"/>
  <c r="P251" i="11" s="1"/>
  <c r="L251" i="1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N221" i="11"/>
  <c r="M221" i="11"/>
  <c r="P221" i="11" s="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N141" i="11"/>
  <c r="M141" i="11"/>
  <c r="L141" i="11"/>
  <c r="O141" i="11" s="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P119" i="11"/>
  <c r="N119" i="11"/>
  <c r="M119" i="11"/>
  <c r="L119" i="1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P95" i="11"/>
  <c r="O95" i="11"/>
  <c r="N95" i="11"/>
  <c r="M95" i="11"/>
  <c r="L95" i="11"/>
  <c r="J93" i="11"/>
  <c r="I93" i="11"/>
  <c r="K93" i="11" s="1"/>
  <c r="J92" i="11"/>
  <c r="I92" i="11"/>
  <c r="K92" i="11" s="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P67" i="11"/>
  <c r="O67" i="11"/>
  <c r="N67" i="11"/>
  <c r="M67" i="11"/>
  <c r="L67" i="11"/>
  <c r="J65" i="11"/>
  <c r="I65" i="11"/>
  <c r="J64" i="11"/>
  <c r="I64" i="11"/>
  <c r="N61" i="11"/>
  <c r="L61" i="11"/>
  <c r="L59" i="11"/>
  <c r="L58" i="11"/>
  <c r="N57" i="11"/>
  <c r="M57" i="11"/>
  <c r="P54" i="11"/>
  <c r="O54" i="11"/>
  <c r="N54" i="11"/>
  <c r="M54" i="11"/>
  <c r="L54" i="11"/>
  <c r="N49" i="11"/>
  <c r="L49" i="11"/>
  <c r="M49" i="11" s="1"/>
  <c r="L47" i="11"/>
  <c r="L46" i="11"/>
  <c r="N45" i="11"/>
  <c r="M45" i="11"/>
  <c r="N42" i="11"/>
  <c r="M42" i="11"/>
  <c r="P42" i="11" s="1"/>
  <c r="L42" i="11"/>
  <c r="O42" i="11" s="1"/>
  <c r="P36" i="11"/>
  <c r="O36" i="11"/>
  <c r="P35" i="11"/>
  <c r="O35" i="11"/>
  <c r="M34" i="11"/>
  <c r="P34" i="11" s="1"/>
  <c r="M33" i="11"/>
  <c r="M32" i="11"/>
  <c r="P31" i="11"/>
  <c r="M31" i="11"/>
  <c r="P29" i="11"/>
  <c r="M29" i="11"/>
  <c r="N25" i="11"/>
  <c r="M25" i="11"/>
  <c r="L25" i="11"/>
  <c r="P24" i="11"/>
  <c r="N24" i="11"/>
  <c r="M24" i="11"/>
  <c r="P23" i="11"/>
  <c r="N23" i="11"/>
  <c r="M23" i="11"/>
  <c r="O21" i="11"/>
  <c r="N21" i="11"/>
  <c r="M21" i="11"/>
  <c r="P21" i="11" s="1"/>
  <c r="L21" i="11"/>
  <c r="M19" i="11"/>
  <c r="N15" i="11"/>
  <c r="M14" i="11"/>
  <c r="P14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K371" i="10" s="1"/>
  <c r="J370" i="10"/>
  <c r="I370" i="10"/>
  <c r="K370" i="10" s="1"/>
  <c r="J369" i="10"/>
  <c r="I369" i="10"/>
  <c r="K369" i="10" s="1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O353" i="10" s="1"/>
  <c r="N352" i="10"/>
  <c r="L352" i="10"/>
  <c r="O352" i="10" s="1"/>
  <c r="N351" i="10"/>
  <c r="L351" i="10"/>
  <c r="O351" i="10" s="1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M337" i="10" s="1"/>
  <c r="L335" i="10"/>
  <c r="L334" i="10"/>
  <c r="N333" i="10"/>
  <c r="M333" i="10"/>
  <c r="O332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L316" i="10"/>
  <c r="L315" i="10"/>
  <c r="N314" i="10"/>
  <c r="M314" i="10"/>
  <c r="P314" i="10" s="1"/>
  <c r="O313" i="10"/>
  <c r="O311" i="10"/>
  <c r="N311" i="10"/>
  <c r="M311" i="10"/>
  <c r="P311" i="10" s="1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N291" i="10"/>
  <c r="M291" i="10"/>
  <c r="P291" i="10" s="1"/>
  <c r="L291" i="10"/>
  <c r="O291" i="10" s="1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P272" i="10"/>
  <c r="O272" i="10"/>
  <c r="N272" i="10"/>
  <c r="M272" i="10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L256" i="10"/>
  <c r="L255" i="10"/>
  <c r="N254" i="10"/>
  <c r="M254" i="10"/>
  <c r="P254" i="10" s="1"/>
  <c r="O253" i="10"/>
  <c r="O251" i="10"/>
  <c r="N251" i="10"/>
  <c r="M251" i="10"/>
  <c r="P251" i="10" s="1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O228" i="10" s="1"/>
  <c r="L226" i="10"/>
  <c r="L225" i="10"/>
  <c r="N224" i="10"/>
  <c r="M224" i="10"/>
  <c r="P224" i="10" s="1"/>
  <c r="O223" i="10"/>
  <c r="N221" i="10"/>
  <c r="M221" i="10"/>
  <c r="P221" i="10" s="1"/>
  <c r="L221" i="10"/>
  <c r="O221" i="10" s="1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L146" i="10"/>
  <c r="L145" i="10"/>
  <c r="N144" i="10"/>
  <c r="M144" i="10"/>
  <c r="M142" i="10" s="1"/>
  <c r="O143" i="10"/>
  <c r="N141" i="10"/>
  <c r="M141" i="10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P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P95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L72" i="10"/>
  <c r="L71" i="10"/>
  <c r="N70" i="10"/>
  <c r="M70" i="10"/>
  <c r="O69" i="10"/>
  <c r="P67" i="10"/>
  <c r="N67" i="10"/>
  <c r="M67" i="10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M55" i="10" s="1"/>
  <c r="N54" i="10"/>
  <c r="M54" i="10"/>
  <c r="L54" i="10"/>
  <c r="N49" i="10"/>
  <c r="L49" i="10"/>
  <c r="L47" i="10"/>
  <c r="L46" i="10"/>
  <c r="N45" i="10"/>
  <c r="M45" i="10"/>
  <c r="N42" i="10"/>
  <c r="M42" i="10"/>
  <c r="P42" i="10" s="1"/>
  <c r="L42" i="10"/>
  <c r="O42" i="10" s="1"/>
  <c r="P36" i="10"/>
  <c r="O36" i="10"/>
  <c r="P35" i="10"/>
  <c r="O35" i="10"/>
  <c r="M34" i="10"/>
  <c r="P34" i="10" s="1"/>
  <c r="M33" i="10"/>
  <c r="P32" i="10"/>
  <c r="M32" i="10"/>
  <c r="M30" i="10" s="1"/>
  <c r="P31" i="10"/>
  <c r="M31" i="10"/>
  <c r="P30" i="10"/>
  <c r="P29" i="10"/>
  <c r="M29" i="10"/>
  <c r="M28" i="10"/>
  <c r="P28" i="10" s="1"/>
  <c r="P25" i="10"/>
  <c r="N25" i="10"/>
  <c r="M25" i="10"/>
  <c r="L25" i="10"/>
  <c r="P24" i="10"/>
  <c r="N24" i="10"/>
  <c r="M24" i="10"/>
  <c r="P23" i="10"/>
  <c r="N23" i="10"/>
  <c r="M23" i="10"/>
  <c r="N21" i="10"/>
  <c r="M21" i="10"/>
  <c r="M19" i="10" s="1"/>
  <c r="L21" i="10"/>
  <c r="O21" i="10" s="1"/>
  <c r="L19" i="10"/>
  <c r="O19" i="10" s="1"/>
  <c r="N15" i="10"/>
  <c r="M15" i="10"/>
  <c r="P15" i="10" s="1"/>
  <c r="M14" i="10"/>
  <c r="P14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I651" i="9"/>
  <c r="N650" i="9"/>
  <c r="L650" i="9"/>
  <c r="J650" i="9"/>
  <c r="I650" i="9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6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N330" i="9"/>
  <c r="M330" i="9"/>
  <c r="P330" i="9" s="1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M312" i="9" s="1"/>
  <c r="P312" i="9" s="1"/>
  <c r="O313" i="9"/>
  <c r="O311" i="9"/>
  <c r="N311" i="9"/>
  <c r="M311" i="9"/>
  <c r="P311" i="9" s="1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N291" i="9"/>
  <c r="M291" i="9"/>
  <c r="L291" i="9"/>
  <c r="O291" i="9" s="1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P272" i="9"/>
  <c r="O272" i="9"/>
  <c r="N272" i="9"/>
  <c r="M272" i="9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O251" i="9"/>
  <c r="N251" i="9"/>
  <c r="M251" i="9"/>
  <c r="P251" i="9" s="1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L226" i="9"/>
  <c r="L225" i="9"/>
  <c r="N224" i="9"/>
  <c r="M224" i="9"/>
  <c r="M222" i="9" s="1"/>
  <c r="O223" i="9"/>
  <c r="N221" i="9"/>
  <c r="M221" i="9"/>
  <c r="L221" i="9"/>
  <c r="O221" i="9" s="1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L146" i="9"/>
  <c r="L145" i="9"/>
  <c r="N144" i="9"/>
  <c r="M144" i="9"/>
  <c r="M142" i="9" s="1"/>
  <c r="O143" i="9"/>
  <c r="N141" i="9"/>
  <c r="M141" i="9"/>
  <c r="P141" i="9" s="1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P119" i="9"/>
  <c r="N119" i="9"/>
  <c r="M119" i="9"/>
  <c r="L119" i="9"/>
  <c r="O119" i="9" s="1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P98" i="9" s="1"/>
  <c r="O97" i="9"/>
  <c r="P95" i="9"/>
  <c r="O95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P70" i="9" s="1"/>
  <c r="O69" i="9"/>
  <c r="P67" i="9"/>
  <c r="O67" i="9"/>
  <c r="N67" i="9"/>
  <c r="M67" i="9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P54" i="9"/>
  <c r="O54" i="9"/>
  <c r="N54" i="9"/>
  <c r="M54" i="9"/>
  <c r="L54" i="9"/>
  <c r="N49" i="9"/>
  <c r="L49" i="9"/>
  <c r="O49" i="9" s="1"/>
  <c r="L47" i="9"/>
  <c r="L46" i="9"/>
  <c r="N45" i="9"/>
  <c r="M45" i="9"/>
  <c r="M43" i="9" s="1"/>
  <c r="P42" i="9"/>
  <c r="N42" i="9"/>
  <c r="M42" i="9"/>
  <c r="L42" i="9"/>
  <c r="P36" i="9"/>
  <c r="O36" i="9"/>
  <c r="P35" i="9"/>
  <c r="O35" i="9"/>
  <c r="M34" i="9"/>
  <c r="P33" i="9"/>
  <c r="M33" i="9"/>
  <c r="P32" i="9"/>
  <c r="M32" i="9"/>
  <c r="P31" i="9"/>
  <c r="M31" i="9"/>
  <c r="M30" i="9"/>
  <c r="P30" i="9" s="1"/>
  <c r="M29" i="9"/>
  <c r="P29" i="9" s="1"/>
  <c r="M28" i="9"/>
  <c r="P28" i="9" s="1"/>
  <c r="P25" i="9"/>
  <c r="O25" i="9"/>
  <c r="N25" i="9"/>
  <c r="M25" i="9"/>
  <c r="L25" i="9"/>
  <c r="P24" i="9"/>
  <c r="N24" i="9"/>
  <c r="M24" i="9"/>
  <c r="N23" i="9"/>
  <c r="M23" i="9"/>
  <c r="P23" i="9" s="1"/>
  <c r="N21" i="9"/>
  <c r="M21" i="9"/>
  <c r="L21" i="9"/>
  <c r="N19" i="9"/>
  <c r="N15" i="9"/>
  <c r="M15" i="9"/>
  <c r="P15" i="9" s="1"/>
  <c r="L15" i="9"/>
  <c r="O15" i="9" s="1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O650" i="8" s="1"/>
  <c r="J650" i="8"/>
  <c r="I650" i="8"/>
  <c r="K650" i="8" s="1"/>
  <c r="N649" i="8"/>
  <c r="L649" i="8"/>
  <c r="O649" i="8" s="1"/>
  <c r="J649" i="8"/>
  <c r="I649" i="8"/>
  <c r="K649" i="8" s="1"/>
  <c r="N648" i="8"/>
  <c r="L648" i="8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5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M337" i="8" s="1"/>
  <c r="L335" i="8"/>
  <c r="L334" i="8"/>
  <c r="N333" i="8"/>
  <c r="M333" i="8"/>
  <c r="O332" i="8"/>
  <c r="P330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L316" i="8"/>
  <c r="L315" i="8"/>
  <c r="N314" i="8"/>
  <c r="M314" i="8"/>
  <c r="P314" i="8" s="1"/>
  <c r="O313" i="8"/>
  <c r="N311" i="8"/>
  <c r="M311" i="8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P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N272" i="8"/>
  <c r="M272" i="8"/>
  <c r="P272" i="8" s="1"/>
  <c r="L272" i="8"/>
  <c r="O272" i="8" s="1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L256" i="8"/>
  <c r="L255" i="8"/>
  <c r="N254" i="8"/>
  <c r="M254" i="8"/>
  <c r="O253" i="8"/>
  <c r="N251" i="8"/>
  <c r="M251" i="8"/>
  <c r="L251" i="8"/>
  <c r="O251" i="8" s="1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O223" i="8"/>
  <c r="P221" i="8"/>
  <c r="N221" i="8"/>
  <c r="M221" i="8"/>
  <c r="L221" i="8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O141" i="8"/>
  <c r="N141" i="8"/>
  <c r="M141" i="8"/>
  <c r="L141" i="8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O119" i="8"/>
  <c r="N119" i="8"/>
  <c r="M119" i="8"/>
  <c r="L119" i="8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M102" i="8" s="1"/>
  <c r="L100" i="8"/>
  <c r="L99" i="8"/>
  <c r="N98" i="8"/>
  <c r="M98" i="8"/>
  <c r="O97" i="8"/>
  <c r="P95" i="8"/>
  <c r="O95" i="8"/>
  <c r="N95" i="8"/>
  <c r="M95" i="8"/>
  <c r="L95" i="8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O69" i="8"/>
  <c r="O67" i="8"/>
  <c r="N67" i="8"/>
  <c r="M67" i="8"/>
  <c r="P67" i="8" s="1"/>
  <c r="L67" i="8"/>
  <c r="J65" i="8"/>
  <c r="I65" i="8"/>
  <c r="J64" i="8"/>
  <c r="I64" i="8"/>
  <c r="N61" i="8"/>
  <c r="L61" i="8"/>
  <c r="O61" i="8" s="1"/>
  <c r="L59" i="8"/>
  <c r="L58" i="8"/>
  <c r="N57" i="8"/>
  <c r="M57" i="8"/>
  <c r="M55" i="8" s="1"/>
  <c r="M53" i="8" s="1"/>
  <c r="P54" i="8"/>
  <c r="O54" i="8"/>
  <c r="N54" i="8"/>
  <c r="M54" i="8"/>
  <c r="L54" i="8"/>
  <c r="N49" i="8"/>
  <c r="L49" i="8"/>
  <c r="L47" i="8"/>
  <c r="L46" i="8"/>
  <c r="N45" i="8"/>
  <c r="M45" i="8"/>
  <c r="N42" i="8"/>
  <c r="M42" i="8"/>
  <c r="L42" i="8"/>
  <c r="O42" i="8" s="1"/>
  <c r="P36" i="8"/>
  <c r="O36" i="8"/>
  <c r="P35" i="8"/>
  <c r="O35" i="8"/>
  <c r="M34" i="8"/>
  <c r="P34" i="8" s="1"/>
  <c r="M33" i="8"/>
  <c r="P33" i="8" s="1"/>
  <c r="M32" i="8"/>
  <c r="M30" i="8" s="1"/>
  <c r="P31" i="8"/>
  <c r="M31" i="8"/>
  <c r="P30" i="8"/>
  <c r="M29" i="8"/>
  <c r="P29" i="8" s="1"/>
  <c r="N25" i="8"/>
  <c r="M25" i="8"/>
  <c r="L25" i="8"/>
  <c r="P24" i="8"/>
  <c r="N24" i="8"/>
  <c r="M24" i="8"/>
  <c r="P23" i="8"/>
  <c r="N23" i="8"/>
  <c r="M23" i="8"/>
  <c r="N21" i="8"/>
  <c r="M21" i="8"/>
  <c r="L21" i="8"/>
  <c r="L19" i="8"/>
  <c r="N15" i="8"/>
  <c r="M13" i="8"/>
  <c r="P13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5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P330" i="7"/>
  <c r="N330" i="7"/>
  <c r="M330" i="7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P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O291" i="7"/>
  <c r="N291" i="7"/>
  <c r="M291" i="7"/>
  <c r="P291" i="7" s="1"/>
  <c r="L291" i="7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O274" i="7"/>
  <c r="O272" i="7"/>
  <c r="N272" i="7"/>
  <c r="M272" i="7"/>
  <c r="L272" i="7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O253" i="7"/>
  <c r="P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O221" i="7"/>
  <c r="N221" i="7"/>
  <c r="M221" i="7"/>
  <c r="P221" i="7" s="1"/>
  <c r="L221" i="7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P141" i="7"/>
  <c r="N141" i="7"/>
  <c r="M141" i="7"/>
  <c r="L141" i="7"/>
  <c r="O141" i="7" s="1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O119" i="7"/>
  <c r="N119" i="7"/>
  <c r="M119" i="7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P95" i="7"/>
  <c r="N95" i="7"/>
  <c r="M95" i="7"/>
  <c r="L95" i="7"/>
  <c r="O95" i="7" s="1"/>
  <c r="J93" i="7"/>
  <c r="I93" i="7"/>
  <c r="J92" i="7"/>
  <c r="I92" i="7"/>
  <c r="J90" i="7"/>
  <c r="J89" i="7"/>
  <c r="J88" i="7"/>
  <c r="I88" i="7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M74" i="7" s="1"/>
  <c r="L72" i="7"/>
  <c r="L71" i="7"/>
  <c r="N70" i="7"/>
  <c r="M70" i="7"/>
  <c r="O69" i="7"/>
  <c r="O67" i="7"/>
  <c r="N67" i="7"/>
  <c r="M67" i="7"/>
  <c r="P67" i="7" s="1"/>
  <c r="L67" i="7"/>
  <c r="J65" i="7"/>
  <c r="I65" i="7"/>
  <c r="J64" i="7"/>
  <c r="I64" i="7"/>
  <c r="N61" i="7"/>
  <c r="L61" i="7"/>
  <c r="O61" i="7" s="1"/>
  <c r="L59" i="7"/>
  <c r="L58" i="7"/>
  <c r="N57" i="7"/>
  <c r="M57" i="7"/>
  <c r="M55" i="7" s="1"/>
  <c r="P54" i="7"/>
  <c r="N54" i="7"/>
  <c r="M54" i="7"/>
  <c r="L54" i="7"/>
  <c r="N49" i="7"/>
  <c r="L49" i="7"/>
  <c r="L47" i="7"/>
  <c r="L46" i="7"/>
  <c r="N45" i="7"/>
  <c r="M45" i="7"/>
  <c r="O42" i="7"/>
  <c r="N42" i="7"/>
  <c r="M42" i="7"/>
  <c r="L42" i="7"/>
  <c r="P36" i="7"/>
  <c r="O36" i="7"/>
  <c r="P35" i="7"/>
  <c r="O35" i="7"/>
  <c r="P34" i="7"/>
  <c r="M34" i="7"/>
  <c r="M33" i="7"/>
  <c r="P33" i="7" s="1"/>
  <c r="P32" i="7"/>
  <c r="M32" i="7"/>
  <c r="M31" i="7"/>
  <c r="P30" i="7"/>
  <c r="M30" i="7"/>
  <c r="P25" i="7"/>
  <c r="N25" i="7"/>
  <c r="N15" i="7" s="1"/>
  <c r="M25" i="7"/>
  <c r="L25" i="7"/>
  <c r="O25" i="7" s="1"/>
  <c r="N24" i="7"/>
  <c r="M24" i="7"/>
  <c r="P23" i="7"/>
  <c r="N23" i="7"/>
  <c r="M23" i="7"/>
  <c r="P21" i="7"/>
  <c r="N21" i="7"/>
  <c r="M21" i="7"/>
  <c r="L21" i="7"/>
  <c r="O21" i="7" s="1"/>
  <c r="P19" i="7"/>
  <c r="N19" i="7"/>
  <c r="M19" i="7"/>
  <c r="L19" i="7"/>
  <c r="M15" i="7"/>
  <c r="P15" i="7" s="1"/>
  <c r="M13" i="7"/>
  <c r="P13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I651" i="6"/>
  <c r="N650" i="6"/>
  <c r="L650" i="6"/>
  <c r="J650" i="6"/>
  <c r="I650" i="6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6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J579" i="6"/>
  <c r="I579" i="6"/>
  <c r="K579" i="6" s="1"/>
  <c r="J578" i="6"/>
  <c r="I578" i="6"/>
  <c r="K578" i="6" s="1"/>
  <c r="J577" i="6"/>
  <c r="I577" i="6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N552" i="6"/>
  <c r="L552" i="6"/>
  <c r="O552" i="6" s="1"/>
  <c r="N551" i="6"/>
  <c r="L551" i="6"/>
  <c r="O551" i="6" s="1"/>
  <c r="J551" i="6"/>
  <c r="I551" i="6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J341" i="6"/>
  <c r="I341" i="6"/>
  <c r="J340" i="6"/>
  <c r="I340" i="6"/>
  <c r="J339" i="6"/>
  <c r="I339" i="6"/>
  <c r="K339" i="6" s="1"/>
  <c r="N337" i="6"/>
  <c r="L337" i="6"/>
  <c r="M337" i="6" s="1"/>
  <c r="L335" i="6"/>
  <c r="L334" i="6"/>
  <c r="N333" i="6"/>
  <c r="M333" i="6"/>
  <c r="O332" i="6"/>
  <c r="O330" i="6"/>
  <c r="N330" i="6"/>
  <c r="M330" i="6"/>
  <c r="P330" i="6" s="1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P311" i="6"/>
  <c r="O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P291" i="6"/>
  <c r="O291" i="6"/>
  <c r="N291" i="6"/>
  <c r="M291" i="6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N272" i="6"/>
  <c r="M272" i="6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P251" i="6"/>
  <c r="O251" i="6"/>
  <c r="N251" i="6"/>
  <c r="M251" i="6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O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O141" i="6"/>
  <c r="N141" i="6"/>
  <c r="M141" i="6"/>
  <c r="P141" i="6" s="1"/>
  <c r="L141" i="6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N122" i="6"/>
  <c r="M122" i="6"/>
  <c r="M120" i="6" s="1"/>
  <c r="O121" i="6"/>
  <c r="N119" i="6"/>
  <c r="M119" i="6"/>
  <c r="L119" i="6"/>
  <c r="O119" i="6" s="1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M102" i="6" s="1"/>
  <c r="L100" i="6"/>
  <c r="L99" i="6"/>
  <c r="N98" i="6"/>
  <c r="M98" i="6"/>
  <c r="O97" i="6"/>
  <c r="O95" i="6"/>
  <c r="N95" i="6"/>
  <c r="M95" i="6"/>
  <c r="P95" i="6" s="1"/>
  <c r="L95" i="6"/>
  <c r="J93" i="6"/>
  <c r="I93" i="6"/>
  <c r="J92" i="6"/>
  <c r="I92" i="6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M68" i="6" s="1"/>
  <c r="M66" i="6" s="1"/>
  <c r="O69" i="6"/>
  <c r="N67" i="6"/>
  <c r="M67" i="6"/>
  <c r="P67" i="6" s="1"/>
  <c r="L67" i="6"/>
  <c r="O67" i="6" s="1"/>
  <c r="J65" i="6"/>
  <c r="I65" i="6"/>
  <c r="J64" i="6"/>
  <c r="I64" i="6"/>
  <c r="N61" i="6"/>
  <c r="L61" i="6"/>
  <c r="O61" i="6" s="1"/>
  <c r="L59" i="6"/>
  <c r="L58" i="6"/>
  <c r="N57" i="6"/>
  <c r="M57" i="6"/>
  <c r="M55" i="6" s="1"/>
  <c r="M53" i="6" s="1"/>
  <c r="N54" i="6"/>
  <c r="M54" i="6"/>
  <c r="P54" i="6" s="1"/>
  <c r="L54" i="6"/>
  <c r="N49" i="6"/>
  <c r="L49" i="6"/>
  <c r="L47" i="6"/>
  <c r="L46" i="6"/>
  <c r="N45" i="6"/>
  <c r="M45" i="6"/>
  <c r="M43" i="6" s="1"/>
  <c r="M41" i="6" s="1"/>
  <c r="O42" i="6"/>
  <c r="N42" i="6"/>
  <c r="M42" i="6"/>
  <c r="P42" i="6" s="1"/>
  <c r="L42" i="6"/>
  <c r="P36" i="6"/>
  <c r="O36" i="6"/>
  <c r="P35" i="6"/>
  <c r="O35" i="6"/>
  <c r="P34" i="6"/>
  <c r="M34" i="6"/>
  <c r="P33" i="6"/>
  <c r="M33" i="6"/>
  <c r="M32" i="6"/>
  <c r="P32" i="6" s="1"/>
  <c r="M31" i="6"/>
  <c r="P30" i="6"/>
  <c r="M30" i="6"/>
  <c r="O25" i="6"/>
  <c r="N25" i="6"/>
  <c r="N15" i="6" s="1"/>
  <c r="M25" i="6"/>
  <c r="P25" i="6" s="1"/>
  <c r="L25" i="6"/>
  <c r="N24" i="6"/>
  <c r="M24" i="6"/>
  <c r="P23" i="6"/>
  <c r="N23" i="6"/>
  <c r="M23" i="6"/>
  <c r="P21" i="6"/>
  <c r="N21" i="6"/>
  <c r="M21" i="6"/>
  <c r="L21" i="6"/>
  <c r="O15" i="6"/>
  <c r="L15" i="6"/>
  <c r="M13" i="6"/>
  <c r="P13" i="6" s="1"/>
  <c r="M11" i="6"/>
  <c r="P11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1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N437" i="5"/>
  <c r="L437" i="5"/>
  <c r="N436" i="5"/>
  <c r="L436" i="5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P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N311" i="5"/>
  <c r="M311" i="5"/>
  <c r="P311" i="5" s="1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P294" i="5" s="1"/>
  <c r="O293" i="5"/>
  <c r="N291" i="5"/>
  <c r="M291" i="5"/>
  <c r="L291" i="5"/>
  <c r="O291" i="5" s="1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O272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N251" i="5"/>
  <c r="M251" i="5"/>
  <c r="P251" i="5" s="1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N221" i="5"/>
  <c r="M221" i="5"/>
  <c r="L221" i="5"/>
  <c r="O221" i="5" s="1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P141" i="5"/>
  <c r="N141" i="5"/>
  <c r="M141" i="5"/>
  <c r="L141" i="5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P119" i="5"/>
  <c r="O119" i="5"/>
  <c r="N119" i="5"/>
  <c r="M119" i="5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P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P67" i="5"/>
  <c r="O67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P54" i="5"/>
  <c r="N54" i="5"/>
  <c r="M54" i="5"/>
  <c r="L54" i="5"/>
  <c r="N49" i="5"/>
  <c r="L49" i="5"/>
  <c r="O49" i="5" s="1"/>
  <c r="L47" i="5"/>
  <c r="L46" i="5"/>
  <c r="N45" i="5"/>
  <c r="M45" i="5"/>
  <c r="M43" i="5" s="1"/>
  <c r="N42" i="5"/>
  <c r="M42" i="5"/>
  <c r="L42" i="5"/>
  <c r="O42" i="5" s="1"/>
  <c r="P36" i="5"/>
  <c r="O36" i="5"/>
  <c r="P35" i="5"/>
  <c r="O35" i="5"/>
  <c r="M34" i="5"/>
  <c r="P34" i="5" s="1"/>
  <c r="M33" i="5"/>
  <c r="P33" i="5" s="1"/>
  <c r="P32" i="5"/>
  <c r="M32" i="5"/>
  <c r="P31" i="5"/>
  <c r="M31" i="5"/>
  <c r="P30" i="5"/>
  <c r="M30" i="5"/>
  <c r="M29" i="5"/>
  <c r="M28" i="5" s="1"/>
  <c r="P28" i="5" s="1"/>
  <c r="P25" i="5"/>
  <c r="N25" i="5"/>
  <c r="M25" i="5"/>
  <c r="L25" i="5"/>
  <c r="P24" i="5"/>
  <c r="N24" i="5"/>
  <c r="M24" i="5"/>
  <c r="P23" i="5"/>
  <c r="N23" i="5"/>
  <c r="M23" i="5"/>
  <c r="N21" i="5"/>
  <c r="M21" i="5"/>
  <c r="P21" i="5" s="1"/>
  <c r="L21" i="5"/>
  <c r="O21" i="5" s="1"/>
  <c r="P19" i="5"/>
  <c r="M19" i="5"/>
  <c r="L19" i="5"/>
  <c r="N15" i="5"/>
  <c r="M15" i="5"/>
  <c r="P15" i="5" s="1"/>
  <c r="M14" i="5"/>
  <c r="P14" i="5" s="1"/>
  <c r="M13" i="5"/>
  <c r="P13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N651" i="4"/>
  <c r="L651" i="4"/>
  <c r="I651" i="4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N552" i="4"/>
  <c r="L552" i="4"/>
  <c r="O552" i="4" s="1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N437" i="4"/>
  <c r="L437" i="4"/>
  <c r="N436" i="4"/>
  <c r="L436" i="4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P330" i="4"/>
  <c r="N330" i="4"/>
  <c r="M330" i="4"/>
  <c r="L330" i="4"/>
  <c r="J328" i="4"/>
  <c r="I328" i="4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M312" i="4" s="1"/>
  <c r="O313" i="4"/>
  <c r="N311" i="4"/>
  <c r="M311" i="4"/>
  <c r="P311" i="4" s="1"/>
  <c r="L311" i="4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N291" i="4"/>
  <c r="M291" i="4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O272" i="4"/>
  <c r="N272" i="4"/>
  <c r="M272" i="4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N251" i="4"/>
  <c r="M251" i="4"/>
  <c r="P251" i="4" s="1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N221" i="4"/>
  <c r="M221" i="4"/>
  <c r="L221" i="4"/>
  <c r="O221" i="4" s="1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N141" i="4"/>
  <c r="M141" i="4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O121" i="4"/>
  <c r="P119" i="4"/>
  <c r="O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P95" i="4"/>
  <c r="N95" i="4"/>
  <c r="M95" i="4"/>
  <c r="L95" i="4"/>
  <c r="J93" i="4"/>
  <c r="I93" i="4"/>
  <c r="J92" i="4"/>
  <c r="I92" i="4"/>
  <c r="J90" i="4"/>
  <c r="J89" i="4"/>
  <c r="J88" i="4"/>
  <c r="I88" i="4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O74" i="4" s="1"/>
  <c r="L72" i="4"/>
  <c r="L71" i="4"/>
  <c r="N70" i="4"/>
  <c r="M70" i="4"/>
  <c r="O69" i="4"/>
  <c r="P67" i="4"/>
  <c r="O67" i="4"/>
  <c r="N67" i="4"/>
  <c r="M67" i="4"/>
  <c r="L67" i="4"/>
  <c r="J65" i="4"/>
  <c r="I65" i="4"/>
  <c r="J64" i="4"/>
  <c r="I64" i="4"/>
  <c r="N61" i="4"/>
  <c r="L61" i="4"/>
  <c r="O61" i="4" s="1"/>
  <c r="L59" i="4"/>
  <c r="L58" i="4"/>
  <c r="N57" i="4"/>
  <c r="M57" i="4"/>
  <c r="M55" i="4" s="1"/>
  <c r="P54" i="4"/>
  <c r="N54" i="4"/>
  <c r="M54" i="4"/>
  <c r="L54" i="4"/>
  <c r="N49" i="4"/>
  <c r="L49" i="4"/>
  <c r="M49" i="4" s="1"/>
  <c r="L47" i="4"/>
  <c r="L46" i="4"/>
  <c r="N45" i="4"/>
  <c r="M45" i="4"/>
  <c r="O42" i="4"/>
  <c r="N42" i="4"/>
  <c r="M42" i="4"/>
  <c r="L42" i="4"/>
  <c r="P36" i="4"/>
  <c r="O36" i="4"/>
  <c r="P35" i="4"/>
  <c r="O35" i="4"/>
  <c r="P34" i="4"/>
  <c r="M34" i="4"/>
  <c r="M33" i="4"/>
  <c r="P33" i="4" s="1"/>
  <c r="M32" i="4"/>
  <c r="P32" i="4" s="1"/>
  <c r="M31" i="4"/>
  <c r="M11" i="4" s="1"/>
  <c r="N25" i="4"/>
  <c r="N15" i="4" s="1"/>
  <c r="M25" i="4"/>
  <c r="P25" i="4" s="1"/>
  <c r="L25" i="4"/>
  <c r="O25" i="4" s="1"/>
  <c r="N24" i="4"/>
  <c r="M24" i="4"/>
  <c r="P23" i="4"/>
  <c r="N23" i="4"/>
  <c r="M23" i="4"/>
  <c r="P21" i="4"/>
  <c r="O21" i="4"/>
  <c r="N21" i="4"/>
  <c r="M21" i="4"/>
  <c r="M19" i="4" s="1"/>
  <c r="P19" i="4" s="1"/>
  <c r="L21" i="4"/>
  <c r="N19" i="4"/>
  <c r="L19" i="4"/>
  <c r="M13" i="4"/>
  <c r="P13" i="4" s="1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O665" i="3" s="1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J505" i="3"/>
  <c r="I505" i="3"/>
  <c r="K505" i="3" s="1"/>
  <c r="J504" i="3"/>
  <c r="I504" i="3"/>
  <c r="J503" i="3"/>
  <c r="I503" i="3"/>
  <c r="K503" i="3" s="1"/>
  <c r="J502" i="3"/>
  <c r="I502" i="3"/>
  <c r="K502" i="3" s="1"/>
  <c r="J501" i="3"/>
  <c r="I501" i="3"/>
  <c r="K501" i="3" s="1"/>
  <c r="J500" i="3"/>
  <c r="I500" i="3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J493" i="3"/>
  <c r="I493" i="3"/>
  <c r="K493" i="3" s="1"/>
  <c r="J492" i="3"/>
  <c r="I492" i="3"/>
  <c r="J491" i="3"/>
  <c r="I491" i="3"/>
  <c r="K491" i="3" s="1"/>
  <c r="J490" i="3"/>
  <c r="I490" i="3"/>
  <c r="K490" i="3" s="1"/>
  <c r="J489" i="3"/>
  <c r="I489" i="3"/>
  <c r="K489" i="3" s="1"/>
  <c r="J488" i="3"/>
  <c r="I488" i="3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J469" i="3"/>
  <c r="I469" i="3"/>
  <c r="K469" i="3" s="1"/>
  <c r="J468" i="3"/>
  <c r="I468" i="3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O332" i="3"/>
  <c r="P330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N311" i="3"/>
  <c r="M311" i="3"/>
  <c r="P311" i="3" s="1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P291" i="3"/>
  <c r="N291" i="3"/>
  <c r="M291" i="3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P272" i="3"/>
  <c r="O272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N251" i="3"/>
  <c r="M251" i="3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N221" i="3"/>
  <c r="M221" i="3"/>
  <c r="P221" i="3" s="1"/>
  <c r="L221" i="3"/>
  <c r="O221" i="3" s="1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N141" i="3"/>
  <c r="M141" i="3"/>
  <c r="L141" i="3"/>
  <c r="O141" i="3" s="1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P119" i="3"/>
  <c r="N119" i="3"/>
  <c r="M119" i="3"/>
  <c r="L119" i="3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M102" i="3" s="1"/>
  <c r="L100" i="3"/>
  <c r="L99" i="3"/>
  <c r="N98" i="3"/>
  <c r="M98" i="3"/>
  <c r="O97" i="3"/>
  <c r="N95" i="3"/>
  <c r="M95" i="3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O69" i="3"/>
  <c r="P67" i="3"/>
  <c r="O67" i="3"/>
  <c r="N67" i="3"/>
  <c r="M67" i="3"/>
  <c r="L67" i="3"/>
  <c r="J65" i="3"/>
  <c r="I65" i="3"/>
  <c r="J64" i="3"/>
  <c r="I64" i="3"/>
  <c r="N61" i="3"/>
  <c r="L61" i="3"/>
  <c r="O61" i="3" s="1"/>
  <c r="L59" i="3"/>
  <c r="L58" i="3"/>
  <c r="N57" i="3"/>
  <c r="M57" i="3"/>
  <c r="P54" i="3"/>
  <c r="N54" i="3"/>
  <c r="M54" i="3"/>
  <c r="L54" i="3"/>
  <c r="O54" i="3" s="1"/>
  <c r="N49" i="3"/>
  <c r="L49" i="3"/>
  <c r="O49" i="3" s="1"/>
  <c r="L47" i="3"/>
  <c r="L46" i="3"/>
  <c r="N45" i="3"/>
  <c r="M45" i="3"/>
  <c r="M43" i="3" s="1"/>
  <c r="N42" i="3"/>
  <c r="M42" i="3"/>
  <c r="P42" i="3" s="1"/>
  <c r="L42" i="3"/>
  <c r="P36" i="3"/>
  <c r="O36" i="3"/>
  <c r="P35" i="3"/>
  <c r="O35" i="3"/>
  <c r="M34" i="3"/>
  <c r="P34" i="3" s="1"/>
  <c r="M33" i="3"/>
  <c r="P33" i="3" s="1"/>
  <c r="P32" i="3"/>
  <c r="M32" i="3"/>
  <c r="P31" i="3"/>
  <c r="M31" i="3"/>
  <c r="P30" i="3"/>
  <c r="M30" i="3"/>
  <c r="M29" i="3"/>
  <c r="P29" i="3" s="1"/>
  <c r="M28" i="3"/>
  <c r="P28" i="3" s="1"/>
  <c r="P25" i="3"/>
  <c r="N25" i="3"/>
  <c r="M25" i="3"/>
  <c r="L25" i="3"/>
  <c r="O25" i="3" s="1"/>
  <c r="P24" i="3"/>
  <c r="N24" i="3"/>
  <c r="M24" i="3"/>
  <c r="P23" i="3"/>
  <c r="N23" i="3"/>
  <c r="M23" i="3"/>
  <c r="N21" i="3"/>
  <c r="N19" i="3" s="1"/>
  <c r="M21" i="3"/>
  <c r="L21" i="3"/>
  <c r="O21" i="3" s="1"/>
  <c r="O15" i="3"/>
  <c r="N15" i="3"/>
  <c r="M15" i="3"/>
  <c r="P15" i="3" s="1"/>
  <c r="L15" i="3"/>
  <c r="M14" i="3"/>
  <c r="P14" i="3" s="1"/>
  <c r="M13" i="3"/>
  <c r="P13" i="3" s="1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J668" i="2"/>
  <c r="I668" i="2"/>
  <c r="K668" i="2" s="1"/>
  <c r="J667" i="2"/>
  <c r="J666" i="2"/>
  <c r="N665" i="2"/>
  <c r="L665" i="2"/>
  <c r="O665" i="2" s="1"/>
  <c r="J665" i="2"/>
  <c r="I665" i="2"/>
  <c r="K665" i="2" s="1"/>
  <c r="J663" i="2"/>
  <c r="I663" i="2"/>
  <c r="K663" i="2" s="1"/>
  <c r="J662" i="2"/>
  <c r="N661" i="2"/>
  <c r="L661" i="2"/>
  <c r="J661" i="2"/>
  <c r="J660" i="2"/>
  <c r="J659" i="2"/>
  <c r="J658" i="2"/>
  <c r="J657" i="2"/>
  <c r="J656" i="2"/>
  <c r="J655" i="2"/>
  <c r="J653" i="2"/>
  <c r="J652" i="2"/>
  <c r="N651" i="2"/>
  <c r="L651" i="2"/>
  <c r="I651" i="2"/>
  <c r="N650" i="2"/>
  <c r="L650" i="2"/>
  <c r="J650" i="2"/>
  <c r="I650" i="2"/>
  <c r="N649" i="2"/>
  <c r="L649" i="2"/>
  <c r="J649" i="2"/>
  <c r="I649" i="2"/>
  <c r="K649" i="2" s="1"/>
  <c r="N648" i="2"/>
  <c r="L648" i="2"/>
  <c r="J648" i="2"/>
  <c r="I648" i="2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5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J512" i="2"/>
  <c r="I512" i="2"/>
  <c r="K512" i="2" s="1"/>
  <c r="J511" i="2"/>
  <c r="I511" i="2"/>
  <c r="J510" i="2"/>
  <c r="I510" i="2"/>
  <c r="K510" i="2" s="1"/>
  <c r="J509" i="2"/>
  <c r="I509" i="2"/>
  <c r="J508" i="2"/>
  <c r="I508" i="2"/>
  <c r="K508" i="2" s="1"/>
  <c r="J507" i="2"/>
  <c r="I507" i="2"/>
  <c r="J506" i="2"/>
  <c r="I506" i="2"/>
  <c r="K506" i="2" s="1"/>
  <c r="J505" i="2"/>
  <c r="I505" i="2"/>
  <c r="J504" i="2"/>
  <c r="I504" i="2"/>
  <c r="K504" i="2" s="1"/>
  <c r="J503" i="2"/>
  <c r="I503" i="2"/>
  <c r="J502" i="2"/>
  <c r="I502" i="2"/>
  <c r="K502" i="2" s="1"/>
  <c r="J501" i="2"/>
  <c r="I501" i="2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J494" i="2"/>
  <c r="I494" i="2"/>
  <c r="K494" i="2" s="1"/>
  <c r="J493" i="2"/>
  <c r="I493" i="2"/>
  <c r="J492" i="2"/>
  <c r="I492" i="2"/>
  <c r="K492" i="2" s="1"/>
  <c r="J491" i="2"/>
  <c r="I491" i="2"/>
  <c r="J490" i="2"/>
  <c r="I490" i="2"/>
  <c r="K490" i="2" s="1"/>
  <c r="J489" i="2"/>
  <c r="I489" i="2"/>
  <c r="J488" i="2"/>
  <c r="I488" i="2"/>
  <c r="K488" i="2" s="1"/>
  <c r="J487" i="2"/>
  <c r="I487" i="2"/>
  <c r="J486" i="2"/>
  <c r="I486" i="2"/>
  <c r="K486" i="2" s="1"/>
  <c r="J485" i="2"/>
  <c r="I485" i="2"/>
  <c r="J484" i="2"/>
  <c r="I484" i="2"/>
  <c r="K484" i="2" s="1"/>
  <c r="J483" i="2"/>
  <c r="I483" i="2"/>
  <c r="J482" i="2"/>
  <c r="I482" i="2"/>
  <c r="J481" i="2"/>
  <c r="I481" i="2"/>
  <c r="J480" i="2"/>
  <c r="I480" i="2"/>
  <c r="K480" i="2" s="1"/>
  <c r="J479" i="2"/>
  <c r="I479" i="2"/>
  <c r="J478" i="2"/>
  <c r="I478" i="2"/>
  <c r="K478" i="2" s="1"/>
  <c r="J477" i="2"/>
  <c r="I477" i="2"/>
  <c r="J476" i="2"/>
  <c r="I476" i="2"/>
  <c r="K476" i="2" s="1"/>
  <c r="J475" i="2"/>
  <c r="I475" i="2"/>
  <c r="J474" i="2"/>
  <c r="I474" i="2"/>
  <c r="J473" i="2"/>
  <c r="I473" i="2"/>
  <c r="J472" i="2"/>
  <c r="I472" i="2"/>
  <c r="K472" i="2" s="1"/>
  <c r="J471" i="2"/>
  <c r="I471" i="2"/>
  <c r="J470" i="2"/>
  <c r="I470" i="2"/>
  <c r="K470" i="2" s="1"/>
  <c r="J469" i="2"/>
  <c r="I469" i="2"/>
  <c r="J468" i="2"/>
  <c r="I468" i="2"/>
  <c r="K468" i="2" s="1"/>
  <c r="J467" i="2"/>
  <c r="I467" i="2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J381" i="2"/>
  <c r="I381" i="2"/>
  <c r="N380" i="2"/>
  <c r="L380" i="2"/>
  <c r="J380" i="2"/>
  <c r="I380" i="2"/>
  <c r="J379" i="2"/>
  <c r="J378" i="2"/>
  <c r="J377" i="2"/>
  <c r="I377" i="2"/>
  <c r="J376" i="2"/>
  <c r="I376" i="2"/>
  <c r="K376" i="2" s="1"/>
  <c r="J375" i="2"/>
  <c r="I375" i="2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N352" i="2"/>
  <c r="L352" i="2"/>
  <c r="O352" i="2" s="1"/>
  <c r="N351" i="2"/>
  <c r="L351" i="2"/>
  <c r="J350" i="2"/>
  <c r="I350" i="2"/>
  <c r="K350" i="2" s="1"/>
  <c r="N349" i="2"/>
  <c r="L349" i="2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N337" i="2"/>
  <c r="L337" i="2"/>
  <c r="O337" i="2" s="1"/>
  <c r="L335" i="2"/>
  <c r="L334" i="2"/>
  <c r="N333" i="2"/>
  <c r="M333" i="2"/>
  <c r="O332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O313" i="2"/>
  <c r="P311" i="2"/>
  <c r="O311" i="2"/>
  <c r="N311" i="2"/>
  <c r="M311" i="2"/>
  <c r="L311" i="2"/>
  <c r="J309" i="2"/>
  <c r="I309" i="2"/>
  <c r="J308" i="2"/>
  <c r="J307" i="2"/>
  <c r="J306" i="2"/>
  <c r="I306" i="2"/>
  <c r="K306" i="2" s="1"/>
  <c r="J304" i="2"/>
  <c r="I304" i="2"/>
  <c r="K304" i="2" s="1"/>
  <c r="J303" i="2"/>
  <c r="J302" i="2"/>
  <c r="J301" i="2"/>
  <c r="J300" i="2"/>
  <c r="N298" i="2"/>
  <c r="L298" i="2"/>
  <c r="O298" i="2" s="1"/>
  <c r="L296" i="2"/>
  <c r="L295" i="2"/>
  <c r="N294" i="2"/>
  <c r="M294" i="2"/>
  <c r="M292" i="2" s="1"/>
  <c r="O293" i="2"/>
  <c r="P291" i="2"/>
  <c r="O291" i="2"/>
  <c r="N291" i="2"/>
  <c r="M291" i="2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L277" i="2"/>
  <c r="L276" i="2"/>
  <c r="N275" i="2"/>
  <c r="M275" i="2"/>
  <c r="O274" i="2"/>
  <c r="P272" i="2"/>
  <c r="N272" i="2"/>
  <c r="M272" i="2"/>
  <c r="L272" i="2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P251" i="2"/>
  <c r="O251" i="2"/>
  <c r="N251" i="2"/>
  <c r="M251" i="2"/>
  <c r="L251" i="2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P221" i="2"/>
  <c r="O221" i="2"/>
  <c r="N221" i="2"/>
  <c r="M221" i="2"/>
  <c r="L221" i="2"/>
  <c r="J219" i="2"/>
  <c r="I219" i="2"/>
  <c r="J218" i="2"/>
  <c r="J217" i="2"/>
  <c r="J216" i="2"/>
  <c r="I216" i="2"/>
  <c r="K216" i="2" s="1"/>
  <c r="J215" i="2"/>
  <c r="I215" i="2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O141" i="2"/>
  <c r="N141" i="2"/>
  <c r="M141" i="2"/>
  <c r="L141" i="2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N119" i="2"/>
  <c r="M119" i="2"/>
  <c r="P119" i="2" s="1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N95" i="2"/>
  <c r="M95" i="2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L72" i="2"/>
  <c r="L71" i="2"/>
  <c r="N70" i="2"/>
  <c r="M70" i="2"/>
  <c r="O69" i="2"/>
  <c r="P67" i="2"/>
  <c r="N67" i="2"/>
  <c r="M67" i="2"/>
  <c r="L67" i="2"/>
  <c r="J65" i="2"/>
  <c r="I65" i="2"/>
  <c r="J64" i="2"/>
  <c r="I64" i="2"/>
  <c r="K64" i="2" s="1"/>
  <c r="N61" i="2"/>
  <c r="L61" i="2"/>
  <c r="O61" i="2" s="1"/>
  <c r="L59" i="2"/>
  <c r="L58" i="2"/>
  <c r="N57" i="2"/>
  <c r="M57" i="2"/>
  <c r="M55" i="2" s="1"/>
  <c r="N54" i="2"/>
  <c r="M54" i="2"/>
  <c r="L54" i="2"/>
  <c r="O54" i="2" s="1"/>
  <c r="N49" i="2"/>
  <c r="L49" i="2"/>
  <c r="O49" i="2" s="1"/>
  <c r="L47" i="2"/>
  <c r="L46" i="2"/>
  <c r="N45" i="2"/>
  <c r="M45" i="2"/>
  <c r="N42" i="2"/>
  <c r="M42" i="2"/>
  <c r="P42" i="2" s="1"/>
  <c r="L42" i="2"/>
  <c r="P36" i="2"/>
  <c r="O36" i="2"/>
  <c r="P35" i="2"/>
  <c r="O35" i="2"/>
  <c r="M34" i="2"/>
  <c r="P34" i="2" s="1"/>
  <c r="M33" i="2"/>
  <c r="P33" i="2" s="1"/>
  <c r="M32" i="2"/>
  <c r="P31" i="2"/>
  <c r="M31" i="2"/>
  <c r="M29" i="2" s="1"/>
  <c r="P29" i="2" s="1"/>
  <c r="M26" i="2"/>
  <c r="P26" i="2" s="1"/>
  <c r="N25" i="2"/>
  <c r="M25" i="2"/>
  <c r="L25" i="2"/>
  <c r="O25" i="2" s="1"/>
  <c r="P24" i="2"/>
  <c r="N24" i="2"/>
  <c r="M24" i="2"/>
  <c r="P23" i="2"/>
  <c r="N23" i="2"/>
  <c r="M23" i="2"/>
  <c r="O21" i="2"/>
  <c r="N21" i="2"/>
  <c r="M21" i="2"/>
  <c r="P21" i="2" s="1"/>
  <c r="L21" i="2"/>
  <c r="L19" i="2"/>
  <c r="O19" i="2" s="1"/>
  <c r="N15" i="2"/>
  <c r="M14" i="2"/>
  <c r="P14" i="2" s="1"/>
  <c r="M13" i="2"/>
  <c r="P13" i="2" s="1"/>
  <c r="O639" i="1"/>
  <c r="O637" i="1"/>
  <c r="I548" i="1"/>
  <c r="K548" i="1" s="1"/>
  <c r="I365" i="1"/>
  <c r="K365" i="1" s="1"/>
  <c r="L336" i="1"/>
  <c r="O332" i="1"/>
  <c r="N332" i="1"/>
  <c r="M332" i="1"/>
  <c r="L332" i="1"/>
  <c r="N330" i="1"/>
  <c r="M330" i="1"/>
  <c r="P330" i="1" s="1"/>
  <c r="L330" i="1"/>
  <c r="O330" i="1" s="1"/>
  <c r="L317" i="1"/>
  <c r="O313" i="1"/>
  <c r="N313" i="1"/>
  <c r="M313" i="1"/>
  <c r="L313" i="1"/>
  <c r="N311" i="1"/>
  <c r="M311" i="1"/>
  <c r="P311" i="1" s="1"/>
  <c r="L311" i="1"/>
  <c r="O311" i="1" s="1"/>
  <c r="J307" i="1"/>
  <c r="L297" i="1"/>
  <c r="N293" i="1"/>
  <c r="M293" i="1"/>
  <c r="L293" i="1"/>
  <c r="O293" i="1" s="1"/>
  <c r="P291" i="1"/>
  <c r="O291" i="1"/>
  <c r="N291" i="1"/>
  <c r="M291" i="1"/>
  <c r="L291" i="1"/>
  <c r="L278" i="1"/>
  <c r="N274" i="1"/>
  <c r="M274" i="1"/>
  <c r="L274" i="1"/>
  <c r="O274" i="1" s="1"/>
  <c r="P272" i="1"/>
  <c r="N272" i="1"/>
  <c r="M272" i="1"/>
  <c r="L257" i="1"/>
  <c r="O253" i="1"/>
  <c r="N253" i="1"/>
  <c r="M253" i="1"/>
  <c r="L253" i="1"/>
  <c r="N251" i="1"/>
  <c r="M251" i="1"/>
  <c r="P251" i="1" s="1"/>
  <c r="L251" i="1"/>
  <c r="O251" i="1" s="1"/>
  <c r="J240" i="1"/>
  <c r="L227" i="1"/>
  <c r="N223" i="1"/>
  <c r="M223" i="1"/>
  <c r="L223" i="1"/>
  <c r="O223" i="1" s="1"/>
  <c r="O221" i="1"/>
  <c r="N221" i="1"/>
  <c r="M221" i="1"/>
  <c r="P221" i="1" s="1"/>
  <c r="L221" i="1"/>
  <c r="J214" i="1"/>
  <c r="I214" i="1"/>
  <c r="J198" i="1"/>
  <c r="L147" i="1"/>
  <c r="N143" i="1"/>
  <c r="M143" i="1"/>
  <c r="L143" i="1"/>
  <c r="O143" i="1" s="1"/>
  <c r="N141" i="1"/>
  <c r="L141" i="1"/>
  <c r="O141" i="1" s="1"/>
  <c r="L125" i="1"/>
  <c r="O121" i="1"/>
  <c r="N121" i="1"/>
  <c r="M121" i="1"/>
  <c r="L121" i="1"/>
  <c r="O119" i="1"/>
  <c r="N119" i="1"/>
  <c r="M119" i="1"/>
  <c r="P119" i="1" s="1"/>
  <c r="L119" i="1"/>
  <c r="L101" i="1"/>
  <c r="O97" i="1"/>
  <c r="N97" i="1"/>
  <c r="N21" i="1" s="1"/>
  <c r="M97" i="1"/>
  <c r="M21" i="1" s="1"/>
  <c r="L97" i="1"/>
  <c r="N95" i="1"/>
  <c r="M95" i="1"/>
  <c r="P95" i="1" s="1"/>
  <c r="L95" i="1"/>
  <c r="O95" i="1" s="1"/>
  <c r="L73" i="1"/>
  <c r="N69" i="1"/>
  <c r="M69" i="1"/>
  <c r="L69" i="1"/>
  <c r="O69" i="1" s="1"/>
  <c r="N67" i="1"/>
  <c r="M67" i="1"/>
  <c r="P67" i="1" s="1"/>
  <c r="L67" i="1"/>
  <c r="O67" i="1" s="1"/>
  <c r="L60" i="1"/>
  <c r="L56" i="1"/>
  <c r="L54" i="1" s="1"/>
  <c r="O54" i="1" s="1"/>
  <c r="N54" i="1"/>
  <c r="M54" i="1"/>
  <c r="P54" i="1" s="1"/>
  <c r="L48" i="1"/>
  <c r="L44" i="1"/>
  <c r="N42" i="1"/>
  <c r="M42" i="1"/>
  <c r="P42" i="1" s="1"/>
  <c r="L42" i="1"/>
  <c r="O42" i="1" s="1"/>
  <c r="P36" i="1"/>
  <c r="O36" i="1"/>
  <c r="P35" i="1"/>
  <c r="O35" i="1"/>
  <c r="P34" i="1"/>
  <c r="M34" i="1"/>
  <c r="M33" i="1"/>
  <c r="P33" i="1" s="1"/>
  <c r="M32" i="1"/>
  <c r="M31" i="1"/>
  <c r="M29" i="1" s="1"/>
  <c r="P29" i="1" s="1"/>
  <c r="N25" i="1"/>
  <c r="M25" i="1"/>
  <c r="L25" i="1"/>
  <c r="P24" i="1"/>
  <c r="N24" i="1"/>
  <c r="M24" i="1"/>
  <c r="P23" i="1"/>
  <c r="N23" i="1"/>
  <c r="M23" i="1"/>
  <c r="N15" i="1"/>
  <c r="M14" i="1"/>
  <c r="P14" i="1" s="1"/>
  <c r="N68" i="11" l="1"/>
  <c r="N66" i="11" s="1"/>
  <c r="K464" i="10"/>
  <c r="K473" i="10"/>
  <c r="O555" i="10"/>
  <c r="K560" i="10"/>
  <c r="K416" i="11"/>
  <c r="K593" i="11"/>
  <c r="O601" i="11"/>
  <c r="K649" i="11"/>
  <c r="K650" i="15"/>
  <c r="K465" i="16"/>
  <c r="L275" i="7"/>
  <c r="O275" i="7" s="1"/>
  <c r="O404" i="7"/>
  <c r="K418" i="7"/>
  <c r="K427" i="7"/>
  <c r="K450" i="7"/>
  <c r="O459" i="7"/>
  <c r="K464" i="7"/>
  <c r="O564" i="7"/>
  <c r="K589" i="7"/>
  <c r="O597" i="7"/>
  <c r="K614" i="7"/>
  <c r="K93" i="5"/>
  <c r="K573" i="5"/>
  <c r="K593" i="5"/>
  <c r="N142" i="5"/>
  <c r="N140" i="5" s="1"/>
  <c r="J651" i="10"/>
  <c r="L57" i="17"/>
  <c r="L55" i="17" s="1"/>
  <c r="L53" i="17" s="1"/>
  <c r="N142" i="13"/>
  <c r="N140" i="13" s="1"/>
  <c r="P140" i="13" s="1"/>
  <c r="K65" i="11"/>
  <c r="K80" i="11"/>
  <c r="K573" i="12"/>
  <c r="K547" i="13"/>
  <c r="O568" i="13"/>
  <c r="K580" i="13"/>
  <c r="K158" i="10"/>
  <c r="N120" i="2"/>
  <c r="N118" i="2" s="1"/>
  <c r="O661" i="17"/>
  <c r="O439" i="3"/>
  <c r="O535" i="3"/>
  <c r="K422" i="9"/>
  <c r="K425" i="9"/>
  <c r="O582" i="9"/>
  <c r="K593" i="9"/>
  <c r="O601" i="9"/>
  <c r="K86" i="10"/>
  <c r="K200" i="10"/>
  <c r="L45" i="9"/>
  <c r="O45" i="9" s="1"/>
  <c r="K580" i="11"/>
  <c r="N273" i="12"/>
  <c r="N271" i="12" s="1"/>
  <c r="K533" i="8"/>
  <c r="L57" i="9"/>
  <c r="O57" i="9" s="1"/>
  <c r="K376" i="12"/>
  <c r="O385" i="12"/>
  <c r="O385" i="13"/>
  <c r="O580" i="13"/>
  <c r="K381" i="14"/>
  <c r="K402" i="14"/>
  <c r="K435" i="14"/>
  <c r="O437" i="14"/>
  <c r="K455" i="14"/>
  <c r="K465" i="14"/>
  <c r="K474" i="14"/>
  <c r="M45" i="1"/>
  <c r="J80" i="1"/>
  <c r="J134" i="1"/>
  <c r="L122" i="5"/>
  <c r="O122" i="5" s="1"/>
  <c r="K164" i="8"/>
  <c r="K613" i="15"/>
  <c r="N120" i="7"/>
  <c r="N118" i="7" s="1"/>
  <c r="N252" i="7"/>
  <c r="N250" i="7" s="1"/>
  <c r="K421" i="5"/>
  <c r="K430" i="5"/>
  <c r="O439" i="5"/>
  <c r="K617" i="5"/>
  <c r="K634" i="8"/>
  <c r="L45" i="15"/>
  <c r="L43" i="15" s="1"/>
  <c r="L41" i="15" s="1"/>
  <c r="O651" i="4"/>
  <c r="K482" i="14"/>
  <c r="O601" i="16"/>
  <c r="K628" i="16"/>
  <c r="K628" i="17"/>
  <c r="K573" i="14"/>
  <c r="K580" i="14"/>
  <c r="J671" i="9"/>
  <c r="O671" i="15"/>
  <c r="K615" i="16"/>
  <c r="N312" i="6"/>
  <c r="N310" i="6" s="1"/>
  <c r="N312" i="12"/>
  <c r="N310" i="12" s="1"/>
  <c r="N222" i="16"/>
  <c r="N220" i="16" s="1"/>
  <c r="J671" i="6"/>
  <c r="M331" i="8"/>
  <c r="M329" i="8" s="1"/>
  <c r="K423" i="6"/>
  <c r="K429" i="6"/>
  <c r="K92" i="8"/>
  <c r="K229" i="12"/>
  <c r="O380" i="16"/>
  <c r="O401" i="16"/>
  <c r="J651" i="18"/>
  <c r="K651" i="18" s="1"/>
  <c r="N331" i="2"/>
  <c r="N329" i="2" s="1"/>
  <c r="K597" i="13"/>
  <c r="K466" i="18"/>
  <c r="O568" i="7"/>
  <c r="K573" i="7"/>
  <c r="O582" i="7"/>
  <c r="K593" i="7"/>
  <c r="O601" i="7"/>
  <c r="K628" i="7"/>
  <c r="K417" i="3"/>
  <c r="K420" i="3"/>
  <c r="K423" i="3"/>
  <c r="K426" i="3"/>
  <c r="K429" i="3"/>
  <c r="K432" i="3"/>
  <c r="K219" i="8"/>
  <c r="L314" i="16"/>
  <c r="O314" i="16" s="1"/>
  <c r="N61" i="1"/>
  <c r="L296" i="1"/>
  <c r="K547" i="2"/>
  <c r="N68" i="3"/>
  <c r="N66" i="3" s="1"/>
  <c r="N252" i="3"/>
  <c r="N250" i="3" s="1"/>
  <c r="O49" i="4"/>
  <c r="N57" i="1"/>
  <c r="N55" i="1" s="1"/>
  <c r="N53" i="1" s="1"/>
  <c r="K341" i="8"/>
  <c r="K341" i="10"/>
  <c r="K138" i="11"/>
  <c r="K92" i="12"/>
  <c r="L98" i="13"/>
  <c r="L96" i="13" s="1"/>
  <c r="O96" i="13" s="1"/>
  <c r="P333" i="17"/>
  <c r="J195" i="1"/>
  <c r="J249" i="1"/>
  <c r="L276" i="1"/>
  <c r="I309" i="1"/>
  <c r="I380" i="1"/>
  <c r="L385" i="1"/>
  <c r="I401" i="1"/>
  <c r="I432" i="1"/>
  <c r="L455" i="1"/>
  <c r="L551" i="1"/>
  <c r="J233" i="1"/>
  <c r="I266" i="1"/>
  <c r="L597" i="1"/>
  <c r="I80" i="1"/>
  <c r="J241" i="1"/>
  <c r="N337" i="1"/>
  <c r="N34" i="13"/>
  <c r="N14" i="13" s="1"/>
  <c r="N331" i="3"/>
  <c r="N329" i="3" s="1"/>
  <c r="M26" i="6"/>
  <c r="M16" i="6" s="1"/>
  <c r="K473" i="16"/>
  <c r="L583" i="1"/>
  <c r="O583" i="1" s="1"/>
  <c r="K285" i="2"/>
  <c r="O597" i="2"/>
  <c r="K614" i="2"/>
  <c r="K219" i="3"/>
  <c r="K229" i="3"/>
  <c r="K345" i="3"/>
  <c r="K349" i="3"/>
  <c r="K368" i="6"/>
  <c r="O383" i="6"/>
  <c r="K82" i="8"/>
  <c r="N273" i="9"/>
  <c r="N271" i="9" s="1"/>
  <c r="O597" i="9"/>
  <c r="K591" i="10"/>
  <c r="K597" i="10"/>
  <c r="K200" i="12"/>
  <c r="N252" i="12"/>
  <c r="N250" i="12" s="1"/>
  <c r="K285" i="13"/>
  <c r="O404" i="13"/>
  <c r="K397" i="14"/>
  <c r="L123" i="1"/>
  <c r="J130" i="1"/>
  <c r="J246" i="1"/>
  <c r="J229" i="1"/>
  <c r="I376" i="1"/>
  <c r="J161" i="1"/>
  <c r="J184" i="1"/>
  <c r="J345" i="1"/>
  <c r="N31" i="6"/>
  <c r="N29" i="6" s="1"/>
  <c r="P74" i="7"/>
  <c r="K80" i="7"/>
  <c r="K86" i="7"/>
  <c r="J470" i="1"/>
  <c r="K547" i="9"/>
  <c r="J105" i="1"/>
  <c r="N224" i="1"/>
  <c r="L228" i="1"/>
  <c r="O228" i="1" s="1"/>
  <c r="N43" i="6"/>
  <c r="N41" i="6" s="1"/>
  <c r="K340" i="12"/>
  <c r="K343" i="12"/>
  <c r="I213" i="1"/>
  <c r="I478" i="1"/>
  <c r="K478" i="1" s="1"/>
  <c r="J90" i="1"/>
  <c r="L99" i="1"/>
  <c r="J106" i="1"/>
  <c r="I270" i="1"/>
  <c r="N318" i="1"/>
  <c r="J370" i="1"/>
  <c r="J376" i="1"/>
  <c r="N34" i="5"/>
  <c r="N14" i="5" s="1"/>
  <c r="J651" i="5"/>
  <c r="N252" i="10"/>
  <c r="N250" i="10" s="1"/>
  <c r="J651" i="14"/>
  <c r="J671" i="14"/>
  <c r="J650" i="1"/>
  <c r="J652" i="1"/>
  <c r="J183" i="1"/>
  <c r="I381" i="1"/>
  <c r="J399" i="1"/>
  <c r="I593" i="1"/>
  <c r="I624" i="1"/>
  <c r="J674" i="1"/>
  <c r="J113" i="1"/>
  <c r="J270" i="1"/>
  <c r="J286" i="1"/>
  <c r="J325" i="1"/>
  <c r="K111" i="8"/>
  <c r="J494" i="1"/>
  <c r="K304" i="18"/>
  <c r="K309" i="18"/>
  <c r="K173" i="2"/>
  <c r="J181" i="1"/>
  <c r="I200" i="1"/>
  <c r="J428" i="1"/>
  <c r="J448" i="1"/>
  <c r="J507" i="1"/>
  <c r="J513" i="1"/>
  <c r="J522" i="1"/>
  <c r="J525" i="1"/>
  <c r="J531" i="1"/>
  <c r="J577" i="1"/>
  <c r="J608" i="1"/>
  <c r="J675" i="1"/>
  <c r="J84" i="1"/>
  <c r="J87" i="1"/>
  <c r="J108" i="1"/>
  <c r="J111" i="1"/>
  <c r="P144" i="3"/>
  <c r="K158" i="3"/>
  <c r="N352" i="1"/>
  <c r="J64" i="1"/>
  <c r="I199" i="1"/>
  <c r="I265" i="1"/>
  <c r="I229" i="1"/>
  <c r="N312" i="8"/>
  <c r="N310" i="8" s="1"/>
  <c r="K368" i="8"/>
  <c r="L275" i="9"/>
  <c r="O275" i="9" s="1"/>
  <c r="K650" i="9"/>
  <c r="L98" i="10"/>
  <c r="L96" i="10" s="1"/>
  <c r="K402" i="10"/>
  <c r="L275" i="12"/>
  <c r="O275" i="12" s="1"/>
  <c r="K80" i="15"/>
  <c r="K402" i="15"/>
  <c r="K419" i="15"/>
  <c r="K425" i="15"/>
  <c r="K431" i="15"/>
  <c r="K628" i="15"/>
  <c r="K426" i="16"/>
  <c r="K199" i="17"/>
  <c r="K497" i="17"/>
  <c r="K560" i="17"/>
  <c r="O564" i="17"/>
  <c r="K630" i="18"/>
  <c r="K633" i="18"/>
  <c r="O401" i="10"/>
  <c r="K560" i="14"/>
  <c r="K376" i="17"/>
  <c r="J154" i="1"/>
  <c r="K200" i="2"/>
  <c r="J232" i="1"/>
  <c r="J366" i="1"/>
  <c r="I616" i="1"/>
  <c r="J665" i="1"/>
  <c r="K625" i="3"/>
  <c r="N49" i="1"/>
  <c r="I502" i="1"/>
  <c r="K502" i="1" s="1"/>
  <c r="I560" i="1"/>
  <c r="I215" i="1"/>
  <c r="N355" i="1"/>
  <c r="J362" i="1"/>
  <c r="N435" i="1"/>
  <c r="N438" i="1"/>
  <c r="J475" i="1"/>
  <c r="J478" i="1"/>
  <c r="O383" i="5"/>
  <c r="K93" i="6"/>
  <c r="K285" i="6"/>
  <c r="K350" i="7"/>
  <c r="P144" i="8"/>
  <c r="K633" i="9"/>
  <c r="L314" i="10"/>
  <c r="O314" i="10" s="1"/>
  <c r="K635" i="13"/>
  <c r="I158" i="1"/>
  <c r="J173" i="1"/>
  <c r="I397" i="1"/>
  <c r="J609" i="1"/>
  <c r="I635" i="1"/>
  <c r="K216" i="4"/>
  <c r="L565" i="1"/>
  <c r="O565" i="1" s="1"/>
  <c r="J188" i="1"/>
  <c r="J219" i="1"/>
  <c r="N228" i="1"/>
  <c r="J234" i="1"/>
  <c r="J238" i="1"/>
  <c r="J300" i="1"/>
  <c r="L335" i="1"/>
  <c r="I524" i="1"/>
  <c r="I617" i="1"/>
  <c r="I626" i="1"/>
  <c r="J651" i="4"/>
  <c r="K651" i="4" s="1"/>
  <c r="J671" i="7"/>
  <c r="N120" i="9"/>
  <c r="N118" i="9" s="1"/>
  <c r="L294" i="9"/>
  <c r="L292" i="9" s="1"/>
  <c r="O584" i="10"/>
  <c r="K589" i="10"/>
  <c r="O352" i="12"/>
  <c r="N43" i="13"/>
  <c r="P43" i="13" s="1"/>
  <c r="J651" i="13"/>
  <c r="N273" i="16"/>
  <c r="N271" i="16" s="1"/>
  <c r="J159" i="1"/>
  <c r="N258" i="1"/>
  <c r="J349" i="1"/>
  <c r="N602" i="1"/>
  <c r="I619" i="1"/>
  <c r="K249" i="4"/>
  <c r="I201" i="1"/>
  <c r="I238" i="1"/>
  <c r="K238" i="1" s="1"/>
  <c r="I370" i="1"/>
  <c r="I575" i="1"/>
  <c r="K575" i="1" s="1"/>
  <c r="N148" i="1"/>
  <c r="J157" i="1"/>
  <c r="J162" i="1"/>
  <c r="J202" i="1"/>
  <c r="J211" i="1"/>
  <c r="L122" i="3"/>
  <c r="O122" i="3" s="1"/>
  <c r="K466" i="7"/>
  <c r="L254" i="8"/>
  <c r="O254" i="8" s="1"/>
  <c r="K270" i="8"/>
  <c r="K449" i="8"/>
  <c r="K88" i="10"/>
  <c r="K149" i="13"/>
  <c r="K158" i="13"/>
  <c r="K621" i="17"/>
  <c r="L145" i="1"/>
  <c r="J283" i="1"/>
  <c r="J391" i="1"/>
  <c r="L599" i="1"/>
  <c r="I613" i="1"/>
  <c r="J656" i="1"/>
  <c r="O383" i="10"/>
  <c r="I132" i="1"/>
  <c r="I186" i="1"/>
  <c r="I204" i="1"/>
  <c r="N70" i="1"/>
  <c r="J77" i="1"/>
  <c r="J81" i="1"/>
  <c r="L275" i="3"/>
  <c r="L273" i="3" s="1"/>
  <c r="O537" i="3"/>
  <c r="K629" i="3"/>
  <c r="K632" i="3"/>
  <c r="K635" i="3"/>
  <c r="O455" i="5"/>
  <c r="K110" i="6"/>
  <c r="P333" i="6"/>
  <c r="K573" i="6"/>
  <c r="L144" i="8"/>
  <c r="O144" i="8" s="1"/>
  <c r="O349" i="8"/>
  <c r="O352" i="8"/>
  <c r="K632" i="8"/>
  <c r="K340" i="9"/>
  <c r="K432" i="10"/>
  <c r="K449" i="10"/>
  <c r="K466" i="10"/>
  <c r="K481" i="10"/>
  <c r="K499" i="10"/>
  <c r="O347" i="12"/>
  <c r="K164" i="13"/>
  <c r="L254" i="13"/>
  <c r="L252" i="13" s="1"/>
  <c r="O252" i="13" s="1"/>
  <c r="P275" i="13"/>
  <c r="L294" i="13"/>
  <c r="O294" i="13" s="1"/>
  <c r="K235" i="15"/>
  <c r="O564" i="15"/>
  <c r="O597" i="15"/>
  <c r="K630" i="16"/>
  <c r="K498" i="17"/>
  <c r="K215" i="2"/>
  <c r="N252" i="2"/>
  <c r="N250" i="2" s="1"/>
  <c r="K340" i="2"/>
  <c r="O404" i="2"/>
  <c r="L555" i="1"/>
  <c r="K164" i="7"/>
  <c r="K215" i="8"/>
  <c r="P333" i="8"/>
  <c r="K372" i="8"/>
  <c r="K498" i="9"/>
  <c r="K614" i="9"/>
  <c r="O668" i="9"/>
  <c r="K431" i="10"/>
  <c r="K431" i="12"/>
  <c r="K634" i="14"/>
  <c r="K328" i="16"/>
  <c r="N68" i="17"/>
  <c r="N66" i="17" s="1"/>
  <c r="K113" i="17"/>
  <c r="N582" i="1"/>
  <c r="K473" i="3"/>
  <c r="K497" i="3"/>
  <c r="K88" i="4"/>
  <c r="K93" i="4"/>
  <c r="K185" i="4"/>
  <c r="L314" i="4"/>
  <c r="L312" i="4" s="1"/>
  <c r="J394" i="1"/>
  <c r="J464" i="1"/>
  <c r="J516" i="1"/>
  <c r="J519" i="1"/>
  <c r="J528" i="1"/>
  <c r="J547" i="1"/>
  <c r="O649" i="6"/>
  <c r="N292" i="7"/>
  <c r="N290" i="7" s="1"/>
  <c r="I372" i="1"/>
  <c r="N571" i="1"/>
  <c r="I595" i="1"/>
  <c r="N668" i="1"/>
  <c r="J672" i="1"/>
  <c r="K267" i="8"/>
  <c r="K620" i="8"/>
  <c r="N222" i="9"/>
  <c r="N220" i="9" s="1"/>
  <c r="J373" i="1"/>
  <c r="N382" i="1"/>
  <c r="N462" i="1"/>
  <c r="O566" i="11"/>
  <c r="N68" i="12"/>
  <c r="N66" i="12" s="1"/>
  <c r="K349" i="14"/>
  <c r="K498" i="14"/>
  <c r="N31" i="17"/>
  <c r="N29" i="17" s="1"/>
  <c r="L34" i="17"/>
  <c r="K200" i="18"/>
  <c r="K450" i="18"/>
  <c r="O459" i="18"/>
  <c r="K117" i="2"/>
  <c r="K133" i="2"/>
  <c r="K402" i="2"/>
  <c r="L57" i="3"/>
  <c r="L55" i="3" s="1"/>
  <c r="L53" i="3" s="1"/>
  <c r="K80" i="3"/>
  <c r="L98" i="3"/>
  <c r="L96" i="3" s="1"/>
  <c r="K110" i="3"/>
  <c r="K164" i="6"/>
  <c r="L294" i="6"/>
  <c r="L292" i="6" s="1"/>
  <c r="K630" i="6"/>
  <c r="K633" i="6"/>
  <c r="N331" i="9"/>
  <c r="N329" i="9" s="1"/>
  <c r="K235" i="11"/>
  <c r="L333" i="11"/>
  <c r="L331" i="11" s="1"/>
  <c r="L329" i="11" s="1"/>
  <c r="O352" i="11"/>
  <c r="K401" i="12"/>
  <c r="K417" i="12"/>
  <c r="K423" i="12"/>
  <c r="K426" i="12"/>
  <c r="K429" i="12"/>
  <c r="K270" i="15"/>
  <c r="J367" i="1"/>
  <c r="K164" i="16"/>
  <c r="P224" i="17"/>
  <c r="N273" i="2"/>
  <c r="N271" i="2" s="1"/>
  <c r="O533" i="2"/>
  <c r="O533" i="3"/>
  <c r="N68" i="4"/>
  <c r="N66" i="4" s="1"/>
  <c r="K158" i="4"/>
  <c r="L144" i="5"/>
  <c r="L142" i="5" s="1"/>
  <c r="O142" i="5" s="1"/>
  <c r="K420" i="8"/>
  <c r="N569" i="1"/>
  <c r="L580" i="1"/>
  <c r="N587" i="1"/>
  <c r="M292" i="11"/>
  <c r="P292" i="11" s="1"/>
  <c r="J651" i="11"/>
  <c r="K628" i="12"/>
  <c r="L144" i="13"/>
  <c r="O144" i="13" s="1"/>
  <c r="K381" i="13"/>
  <c r="L333" i="14"/>
  <c r="O333" i="14" s="1"/>
  <c r="K340" i="14"/>
  <c r="N120" i="16"/>
  <c r="P120" i="16" s="1"/>
  <c r="L314" i="18"/>
  <c r="L312" i="18" s="1"/>
  <c r="L47" i="1"/>
  <c r="J76" i="1"/>
  <c r="I81" i="1"/>
  <c r="K92" i="3"/>
  <c r="M224" i="1"/>
  <c r="I235" i="1"/>
  <c r="J174" i="1"/>
  <c r="J187" i="1"/>
  <c r="J196" i="1"/>
  <c r="L226" i="1"/>
  <c r="J237" i="1"/>
  <c r="J243" i="1"/>
  <c r="J400" i="1"/>
  <c r="N437" i="1"/>
  <c r="N441" i="1"/>
  <c r="J498" i="1"/>
  <c r="N585" i="1"/>
  <c r="L601" i="1"/>
  <c r="J607" i="1"/>
  <c r="I615" i="1"/>
  <c r="I618" i="1"/>
  <c r="I621" i="1"/>
  <c r="J663" i="1"/>
  <c r="J667" i="1"/>
  <c r="J670" i="1"/>
  <c r="K88" i="8"/>
  <c r="L315" i="1"/>
  <c r="I328" i="1"/>
  <c r="N357" i="1"/>
  <c r="J364" i="1"/>
  <c r="I418" i="1"/>
  <c r="I424" i="1"/>
  <c r="J433" i="1"/>
  <c r="L439" i="1"/>
  <c r="J445" i="1"/>
  <c r="J453" i="1"/>
  <c r="L459" i="1"/>
  <c r="N534" i="1"/>
  <c r="I629" i="1"/>
  <c r="N252" i="9"/>
  <c r="N250" i="9" s="1"/>
  <c r="N312" i="9"/>
  <c r="N310" i="9" s="1"/>
  <c r="K138" i="10"/>
  <c r="J216" i="1"/>
  <c r="O401" i="11"/>
  <c r="K427" i="11"/>
  <c r="K473" i="11"/>
  <c r="J509" i="1"/>
  <c r="K199" i="12"/>
  <c r="L224" i="12"/>
  <c r="O224" i="12" s="1"/>
  <c r="O380" i="12"/>
  <c r="K427" i="12"/>
  <c r="N388" i="1"/>
  <c r="I474" i="1"/>
  <c r="N222" i="15"/>
  <c r="N220" i="15" s="1"/>
  <c r="K398" i="15"/>
  <c r="N252" i="16"/>
  <c r="N250" i="16" s="1"/>
  <c r="O564" i="16"/>
  <c r="J85" i="1"/>
  <c r="I112" i="1"/>
  <c r="M122" i="1"/>
  <c r="K328" i="17"/>
  <c r="K435" i="17"/>
  <c r="J176" i="1"/>
  <c r="J268" i="1"/>
  <c r="N298" i="1"/>
  <c r="K376" i="4"/>
  <c r="K380" i="4"/>
  <c r="O385" i="4"/>
  <c r="J115" i="1"/>
  <c r="J156" i="1"/>
  <c r="J170" i="1"/>
  <c r="J210" i="1"/>
  <c r="J215" i="1"/>
  <c r="I589" i="1"/>
  <c r="O599" i="5"/>
  <c r="K466" i="6"/>
  <c r="J200" i="1"/>
  <c r="J204" i="1"/>
  <c r="J213" i="1"/>
  <c r="M312" i="8"/>
  <c r="P312" i="8" s="1"/>
  <c r="J368" i="1"/>
  <c r="J371" i="1"/>
  <c r="N387" i="1"/>
  <c r="J398" i="1"/>
  <c r="N408" i="1"/>
  <c r="J418" i="1"/>
  <c r="J467" i="1"/>
  <c r="M252" i="10"/>
  <c r="P252" i="10" s="1"/>
  <c r="J630" i="1"/>
  <c r="K547" i="11"/>
  <c r="P102" i="12"/>
  <c r="K132" i="12"/>
  <c r="P98" i="14"/>
  <c r="O601" i="15"/>
  <c r="N252" i="18"/>
  <c r="N250" i="18" s="1"/>
  <c r="K340" i="18"/>
  <c r="O352" i="18"/>
  <c r="I622" i="1"/>
  <c r="K648" i="2"/>
  <c r="I648" i="1"/>
  <c r="J476" i="1"/>
  <c r="J482" i="1"/>
  <c r="K346" i="13"/>
  <c r="I346" i="1"/>
  <c r="K346" i="1" s="1"/>
  <c r="O351" i="6"/>
  <c r="L31" i="6"/>
  <c r="O31" i="6" s="1"/>
  <c r="K551" i="6"/>
  <c r="I551" i="1"/>
  <c r="K580" i="6"/>
  <c r="I580" i="1"/>
  <c r="J261" i="1"/>
  <c r="I374" i="1"/>
  <c r="I398" i="1"/>
  <c r="I87" i="1"/>
  <c r="K87" i="1" s="1"/>
  <c r="L148" i="1"/>
  <c r="I185" i="1"/>
  <c r="I267" i="1"/>
  <c r="L598" i="1"/>
  <c r="O598" i="1" s="1"/>
  <c r="I663" i="1"/>
  <c r="K663" i="1" s="1"/>
  <c r="J104" i="1"/>
  <c r="J128" i="1"/>
  <c r="J189" i="1"/>
  <c r="J199" i="1"/>
  <c r="N537" i="1"/>
  <c r="J548" i="1"/>
  <c r="N566" i="1"/>
  <c r="N583" i="1"/>
  <c r="N588" i="1"/>
  <c r="J591" i="1"/>
  <c r="J657" i="1"/>
  <c r="N661" i="1"/>
  <c r="J677" i="1"/>
  <c r="N55" i="3"/>
  <c r="N53" i="3" s="1"/>
  <c r="K368" i="2"/>
  <c r="I368" i="1"/>
  <c r="K368" i="1" s="1"/>
  <c r="J393" i="1"/>
  <c r="L102" i="1"/>
  <c r="L665" i="1"/>
  <c r="J500" i="1"/>
  <c r="J512" i="1"/>
  <c r="O600" i="2"/>
  <c r="L600" i="1"/>
  <c r="O600" i="1" s="1"/>
  <c r="K630" i="2"/>
  <c r="I630" i="1"/>
  <c r="K633" i="2"/>
  <c r="I633" i="1"/>
  <c r="K650" i="2"/>
  <c r="I650" i="1"/>
  <c r="N401" i="1"/>
  <c r="N404" i="1"/>
  <c r="J415" i="1"/>
  <c r="J430" i="1"/>
  <c r="J450" i="1"/>
  <c r="I428" i="1"/>
  <c r="J527" i="1"/>
  <c r="O458" i="10"/>
  <c r="L458" i="1"/>
  <c r="O458" i="1" s="1"/>
  <c r="K496" i="10"/>
  <c r="I496" i="1"/>
  <c r="K496" i="1" s="1"/>
  <c r="K514" i="15"/>
  <c r="I514" i="1"/>
  <c r="K514" i="1" s="1"/>
  <c r="O534" i="15"/>
  <c r="L534" i="1"/>
  <c r="O534" i="1" s="1"/>
  <c r="O553" i="6"/>
  <c r="L553" i="1"/>
  <c r="K577" i="6"/>
  <c r="I577" i="1"/>
  <c r="K577" i="1" s="1"/>
  <c r="O456" i="8"/>
  <c r="L456" i="1"/>
  <c r="O456" i="1" s="1"/>
  <c r="J473" i="1"/>
  <c r="J320" i="1"/>
  <c r="N386" i="1"/>
  <c r="I632" i="1"/>
  <c r="K651" i="2"/>
  <c r="I651" i="1"/>
  <c r="L258" i="1"/>
  <c r="O258" i="1" s="1"/>
  <c r="L582" i="1"/>
  <c r="L72" i="1"/>
  <c r="J488" i="1"/>
  <c r="L49" i="1"/>
  <c r="I83" i="1"/>
  <c r="L126" i="1"/>
  <c r="O126" i="1" s="1"/>
  <c r="I216" i="1"/>
  <c r="I244" i="1"/>
  <c r="K244" i="1" s="1"/>
  <c r="I304" i="1"/>
  <c r="L318" i="1"/>
  <c r="O318" i="1" s="1"/>
  <c r="I484" i="1"/>
  <c r="K484" i="1" s="1"/>
  <c r="L671" i="1"/>
  <c r="J419" i="1"/>
  <c r="J431" i="1"/>
  <c r="J435" i="1"/>
  <c r="J451" i="1"/>
  <c r="N461" i="1"/>
  <c r="J468" i="1"/>
  <c r="J471" i="1"/>
  <c r="J477" i="1"/>
  <c r="J546" i="1"/>
  <c r="N555" i="1"/>
  <c r="J560" i="1"/>
  <c r="J576" i="1"/>
  <c r="J592" i="1"/>
  <c r="J595" i="1"/>
  <c r="N597" i="1"/>
  <c r="K596" i="6"/>
  <c r="I596" i="1"/>
  <c r="K596" i="1" s="1"/>
  <c r="O436" i="8"/>
  <c r="L436" i="1"/>
  <c r="O436" i="1" s="1"/>
  <c r="L380" i="1"/>
  <c r="I625" i="1"/>
  <c r="L61" i="1"/>
  <c r="O61" i="1" s="1"/>
  <c r="I84" i="1"/>
  <c r="I92" i="1"/>
  <c r="I264" i="1"/>
  <c r="J340" i="1"/>
  <c r="I486" i="1"/>
  <c r="K486" i="1" s="1"/>
  <c r="I590" i="1"/>
  <c r="K590" i="1" s="1"/>
  <c r="O382" i="2"/>
  <c r="L382" i="1"/>
  <c r="O382" i="1" s="1"/>
  <c r="J492" i="1"/>
  <c r="I531" i="1"/>
  <c r="J302" i="1"/>
  <c r="J396" i="1"/>
  <c r="J447" i="1"/>
  <c r="K468" i="3"/>
  <c r="I468" i="1"/>
  <c r="K468" i="1" s="1"/>
  <c r="K492" i="3"/>
  <c r="I492" i="1"/>
  <c r="K492" i="1" s="1"/>
  <c r="K504" i="3"/>
  <c r="I504" i="1"/>
  <c r="K504" i="1" s="1"/>
  <c r="J617" i="1"/>
  <c r="J620" i="1"/>
  <c r="J623" i="1"/>
  <c r="J626" i="1"/>
  <c r="J633" i="1"/>
  <c r="N648" i="1"/>
  <c r="J659" i="1"/>
  <c r="K578" i="9"/>
  <c r="I578" i="1"/>
  <c r="K578" i="1" s="1"/>
  <c r="K597" i="9"/>
  <c r="I597" i="1"/>
  <c r="O436" i="16"/>
  <c r="L31" i="16"/>
  <c r="O31" i="16" s="1"/>
  <c r="K158" i="17"/>
  <c r="J92" i="1"/>
  <c r="L277" i="1"/>
  <c r="J309" i="1"/>
  <c r="J380" i="1"/>
  <c r="K401" i="2"/>
  <c r="N403" i="1"/>
  <c r="J412" i="1"/>
  <c r="I420" i="1"/>
  <c r="N442" i="1"/>
  <c r="J486" i="1"/>
  <c r="K498" i="2"/>
  <c r="J515" i="1"/>
  <c r="J518" i="1"/>
  <c r="J521" i="1"/>
  <c r="J524" i="1"/>
  <c r="J530" i="1"/>
  <c r="J533" i="1"/>
  <c r="O535" i="2"/>
  <c r="N538" i="1"/>
  <c r="J545" i="1"/>
  <c r="L584" i="1"/>
  <c r="K589" i="2"/>
  <c r="J619" i="1"/>
  <c r="J622" i="1"/>
  <c r="K635" i="2"/>
  <c r="K189" i="3"/>
  <c r="K199" i="3"/>
  <c r="K324" i="4"/>
  <c r="K349" i="4"/>
  <c r="O555" i="4"/>
  <c r="K380" i="5"/>
  <c r="O385" i="5"/>
  <c r="K665" i="6"/>
  <c r="K92" i="7"/>
  <c r="K215" i="7"/>
  <c r="K219" i="7"/>
  <c r="K498" i="7"/>
  <c r="L57" i="8"/>
  <c r="O57" i="8" s="1"/>
  <c r="K424" i="8"/>
  <c r="K328" i="9"/>
  <c r="K533" i="9"/>
  <c r="O406" i="10"/>
  <c r="K634" i="10"/>
  <c r="P122" i="11"/>
  <c r="K149" i="11"/>
  <c r="K158" i="11"/>
  <c r="N252" i="11"/>
  <c r="N250" i="11" s="1"/>
  <c r="K402" i="11"/>
  <c r="O601" i="13"/>
  <c r="K631" i="13"/>
  <c r="K634" i="13"/>
  <c r="N68" i="14"/>
  <c r="N66" i="14" s="1"/>
  <c r="O584" i="14"/>
  <c r="K630" i="14"/>
  <c r="K189" i="15"/>
  <c r="K229" i="15"/>
  <c r="L314" i="15"/>
  <c r="O314" i="15" s="1"/>
  <c r="K328" i="15"/>
  <c r="K341" i="15"/>
  <c r="K368" i="15"/>
  <c r="O649" i="15"/>
  <c r="K85" i="16"/>
  <c r="K88" i="16"/>
  <c r="N142" i="16"/>
  <c r="N140" i="16" s="1"/>
  <c r="L224" i="16"/>
  <c r="O224" i="16" s="1"/>
  <c r="K285" i="16"/>
  <c r="N312" i="16"/>
  <c r="N310" i="16" s="1"/>
  <c r="K341" i="16"/>
  <c r="O347" i="16"/>
  <c r="K350" i="16"/>
  <c r="N120" i="17"/>
  <c r="N118" i="17" s="1"/>
  <c r="K164" i="17"/>
  <c r="K186" i="17"/>
  <c r="O439" i="17"/>
  <c r="K450" i="17"/>
  <c r="K464" i="17"/>
  <c r="K473" i="17"/>
  <c r="K564" i="17"/>
  <c r="N55" i="18"/>
  <c r="N53" i="18" s="1"/>
  <c r="P53" i="18" s="1"/>
  <c r="N273" i="4"/>
  <c r="N271" i="4" s="1"/>
  <c r="K309" i="4"/>
  <c r="N312" i="4"/>
  <c r="P312" i="4" s="1"/>
  <c r="K381" i="4"/>
  <c r="N96" i="5"/>
  <c r="N94" i="5" s="1"/>
  <c r="K580" i="5"/>
  <c r="K109" i="6"/>
  <c r="K158" i="6"/>
  <c r="N252" i="6"/>
  <c r="N250" i="6" s="1"/>
  <c r="L333" i="6"/>
  <c r="L331" i="6" s="1"/>
  <c r="L329" i="6" s="1"/>
  <c r="K564" i="6"/>
  <c r="O49" i="7"/>
  <c r="L70" i="7"/>
  <c r="O70" i="7" s="1"/>
  <c r="N222" i="7"/>
  <c r="N220" i="7" s="1"/>
  <c r="O406" i="7"/>
  <c r="K423" i="7"/>
  <c r="K426" i="7"/>
  <c r="K429" i="7"/>
  <c r="O435" i="7"/>
  <c r="N68" i="8"/>
  <c r="N66" i="8" s="1"/>
  <c r="I367" i="8"/>
  <c r="K367" i="8" s="1"/>
  <c r="K349" i="9"/>
  <c r="N120" i="11"/>
  <c r="N118" i="11" s="1"/>
  <c r="L34" i="14"/>
  <c r="L255" i="1"/>
  <c r="J262" i="1"/>
  <c r="J374" i="1"/>
  <c r="N407" i="1"/>
  <c r="J414" i="1"/>
  <c r="I430" i="1"/>
  <c r="K593" i="2"/>
  <c r="N605" i="1"/>
  <c r="J611" i="1"/>
  <c r="J614" i="1"/>
  <c r="K82" i="3"/>
  <c r="K173" i="3"/>
  <c r="O455" i="3"/>
  <c r="K267" i="4"/>
  <c r="P102" i="8"/>
  <c r="O354" i="8"/>
  <c r="J671" i="8"/>
  <c r="O533" i="9"/>
  <c r="K199" i="10"/>
  <c r="K380" i="11"/>
  <c r="K401" i="11"/>
  <c r="O406" i="11"/>
  <c r="K417" i="11"/>
  <c r="K429" i="11"/>
  <c r="J671" i="11"/>
  <c r="L57" i="13"/>
  <c r="L55" i="13" s="1"/>
  <c r="L53" i="13" s="1"/>
  <c r="P224" i="13"/>
  <c r="L294" i="14"/>
  <c r="O294" i="14" s="1"/>
  <c r="K435" i="15"/>
  <c r="K465" i="15"/>
  <c r="O668" i="15"/>
  <c r="P74" i="16"/>
  <c r="K375" i="16"/>
  <c r="O599" i="17"/>
  <c r="K629" i="17"/>
  <c r="K81" i="18"/>
  <c r="K219" i="18"/>
  <c r="I65" i="1"/>
  <c r="N74" i="1"/>
  <c r="J322" i="1"/>
  <c r="N436" i="1"/>
  <c r="J454" i="1"/>
  <c r="N459" i="1"/>
  <c r="I517" i="1"/>
  <c r="I520" i="1"/>
  <c r="I523" i="1"/>
  <c r="I526" i="1"/>
  <c r="I529" i="1"/>
  <c r="I532" i="1"/>
  <c r="N536" i="1"/>
  <c r="N541" i="1"/>
  <c r="J551" i="1"/>
  <c r="N557" i="1"/>
  <c r="J561" i="1"/>
  <c r="J666" i="1"/>
  <c r="J669" i="1"/>
  <c r="N331" i="4"/>
  <c r="N329" i="4" s="1"/>
  <c r="K416" i="5"/>
  <c r="K628" i="5"/>
  <c r="K634" i="5"/>
  <c r="N68" i="6"/>
  <c r="N66" i="6" s="1"/>
  <c r="P66" i="6" s="1"/>
  <c r="K266" i="6"/>
  <c r="K270" i="6"/>
  <c r="K450" i="6"/>
  <c r="N142" i="7"/>
  <c r="N140" i="7" s="1"/>
  <c r="K173" i="8"/>
  <c r="O582" i="8"/>
  <c r="N142" i="10"/>
  <c r="N140" i="10" s="1"/>
  <c r="N312" i="10"/>
  <c r="N310" i="10" s="1"/>
  <c r="K564" i="11"/>
  <c r="N331" i="12"/>
  <c r="N329" i="12" s="1"/>
  <c r="K109" i="14"/>
  <c r="N120" i="14"/>
  <c r="N118" i="14" s="1"/>
  <c r="N55" i="16"/>
  <c r="N53" i="16" s="1"/>
  <c r="P53" i="16" s="1"/>
  <c r="K629" i="16"/>
  <c r="K632" i="16"/>
  <c r="K108" i="17"/>
  <c r="K111" i="17"/>
  <c r="K630" i="17"/>
  <c r="O314" i="18"/>
  <c r="O601" i="18"/>
  <c r="K663" i="18"/>
  <c r="P45" i="2"/>
  <c r="L100" i="1"/>
  <c r="J107" i="1"/>
  <c r="L124" i="1"/>
  <c r="J131" i="1"/>
  <c r="J135" i="1"/>
  <c r="L225" i="1"/>
  <c r="J231" i="1"/>
  <c r="J236" i="1"/>
  <c r="J242" i="1"/>
  <c r="J369" i="1"/>
  <c r="I425" i="1"/>
  <c r="J479" i="1"/>
  <c r="N558" i="1"/>
  <c r="I564" i="1"/>
  <c r="J628" i="1"/>
  <c r="J631" i="1"/>
  <c r="J634" i="1"/>
  <c r="J647" i="1"/>
  <c r="J649" i="1"/>
  <c r="J653" i="1"/>
  <c r="J660" i="1"/>
  <c r="J671" i="2"/>
  <c r="L254" i="3"/>
  <c r="O254" i="3" s="1"/>
  <c r="K328" i="3"/>
  <c r="K372" i="3"/>
  <c r="K381" i="3"/>
  <c r="K402" i="3"/>
  <c r="K285" i="4"/>
  <c r="L294" i="4"/>
  <c r="O294" i="4" s="1"/>
  <c r="K418" i="4"/>
  <c r="K421" i="4"/>
  <c r="K424" i="4"/>
  <c r="K108" i="5"/>
  <c r="K111" i="5"/>
  <c r="K270" i="5"/>
  <c r="O457" i="5"/>
  <c r="K591" i="5"/>
  <c r="L224" i="6"/>
  <c r="O224" i="6" s="1"/>
  <c r="K249" i="6"/>
  <c r="K419" i="6"/>
  <c r="K425" i="6"/>
  <c r="K498" i="6"/>
  <c r="N43" i="7"/>
  <c r="N41" i="7" s="1"/>
  <c r="L57" i="7"/>
  <c r="L55" i="7" s="1"/>
  <c r="L53" i="7" s="1"/>
  <c r="K113" i="7"/>
  <c r="K341" i="7"/>
  <c r="K80" i="8"/>
  <c r="K83" i="8"/>
  <c r="K109" i="8"/>
  <c r="K200" i="8"/>
  <c r="L224" i="8"/>
  <c r="L222" i="8" s="1"/>
  <c r="K249" i="8"/>
  <c r="P254" i="8"/>
  <c r="K265" i="8"/>
  <c r="K426" i="8"/>
  <c r="K432" i="8"/>
  <c r="O566" i="8"/>
  <c r="K597" i="8"/>
  <c r="O599" i="8"/>
  <c r="L122" i="9"/>
  <c r="O122" i="9" s="1"/>
  <c r="O383" i="9"/>
  <c r="K418" i="9"/>
  <c r="K421" i="9"/>
  <c r="K380" i="10"/>
  <c r="O385" i="10"/>
  <c r="K401" i="10"/>
  <c r="O597" i="10"/>
  <c r="K132" i="11"/>
  <c r="K199" i="11"/>
  <c r="P275" i="11"/>
  <c r="K482" i="11"/>
  <c r="K533" i="11"/>
  <c r="K597" i="11"/>
  <c r="K112" i="12"/>
  <c r="K345" i="12"/>
  <c r="K533" i="13"/>
  <c r="O584" i="13"/>
  <c r="K589" i="13"/>
  <c r="O597" i="13"/>
  <c r="K235" i="14"/>
  <c r="K368" i="14"/>
  <c r="O580" i="14"/>
  <c r="K597" i="14"/>
  <c r="N273" i="15"/>
  <c r="L333" i="15"/>
  <c r="L331" i="15" s="1"/>
  <c r="K340" i="15"/>
  <c r="K343" i="15"/>
  <c r="O349" i="15"/>
  <c r="O352" i="15"/>
  <c r="I367" i="15"/>
  <c r="K367" i="15" s="1"/>
  <c r="L57" i="16"/>
  <c r="O57" i="16" s="1"/>
  <c r="L275" i="16"/>
  <c r="O275" i="16" s="1"/>
  <c r="O406" i="16"/>
  <c r="L45" i="17"/>
  <c r="O45" i="17" s="1"/>
  <c r="P144" i="17"/>
  <c r="K397" i="17"/>
  <c r="K401" i="17"/>
  <c r="O406" i="17"/>
  <c r="O435" i="17"/>
  <c r="K466" i="17"/>
  <c r="K573" i="17"/>
  <c r="K189" i="18"/>
  <c r="K199" i="18"/>
  <c r="K402" i="18"/>
  <c r="K416" i="18"/>
  <c r="K422" i="18"/>
  <c r="K425" i="18"/>
  <c r="K428" i="18"/>
  <c r="K432" i="18"/>
  <c r="O406" i="2"/>
  <c r="K432" i="2"/>
  <c r="K449" i="2"/>
  <c r="K466" i="2"/>
  <c r="O537" i="2"/>
  <c r="O551" i="2"/>
  <c r="J65" i="1"/>
  <c r="N443" i="1"/>
  <c r="J449" i="1"/>
  <c r="J452" i="1"/>
  <c r="N463" i="1"/>
  <c r="J466" i="1"/>
  <c r="J469" i="1"/>
  <c r="J472" i="1"/>
  <c r="J481" i="1"/>
  <c r="J484" i="1"/>
  <c r="J496" i="1"/>
  <c r="J502" i="1"/>
  <c r="J505" i="1"/>
  <c r="J508" i="1"/>
  <c r="N120" i="4"/>
  <c r="N118" i="4" s="1"/>
  <c r="O455" i="4"/>
  <c r="K381" i="5"/>
  <c r="K533" i="6"/>
  <c r="O665" i="6"/>
  <c r="K189" i="8"/>
  <c r="N22" i="8"/>
  <c r="K235" i="8"/>
  <c r="K464" i="8"/>
  <c r="K423" i="9"/>
  <c r="K429" i="9"/>
  <c r="K449" i="9"/>
  <c r="O455" i="9"/>
  <c r="K466" i="9"/>
  <c r="K631" i="9"/>
  <c r="P70" i="10"/>
  <c r="K81" i="10"/>
  <c r="K249" i="11"/>
  <c r="O568" i="11"/>
  <c r="K396" i="12"/>
  <c r="N33" i="13"/>
  <c r="N13" i="13" s="1"/>
  <c r="O457" i="13"/>
  <c r="K219" i="14"/>
  <c r="K418" i="14"/>
  <c r="K424" i="14"/>
  <c r="K430" i="14"/>
  <c r="K464" i="14"/>
  <c r="M96" i="16"/>
  <c r="P96" i="16" s="1"/>
  <c r="K132" i="16"/>
  <c r="I367" i="16"/>
  <c r="K367" i="16" s="1"/>
  <c r="K422" i="16"/>
  <c r="O661" i="16"/>
  <c r="K341" i="17"/>
  <c r="K350" i="17"/>
  <c r="K368" i="17"/>
  <c r="K229" i="18"/>
  <c r="K533" i="18"/>
  <c r="M43" i="2"/>
  <c r="M41" i="2" s="1"/>
  <c r="L57" i="2"/>
  <c r="L55" i="2" s="1"/>
  <c r="L53" i="2" s="1"/>
  <c r="K418" i="3"/>
  <c r="K421" i="3"/>
  <c r="K533" i="3"/>
  <c r="O383" i="4"/>
  <c r="O533" i="4"/>
  <c r="K551" i="4"/>
  <c r="K422" i="5"/>
  <c r="K473" i="5"/>
  <c r="K499" i="7"/>
  <c r="L333" i="8"/>
  <c r="O333" i="8" s="1"/>
  <c r="K369" i="8"/>
  <c r="K593" i="8"/>
  <c r="K370" i="9"/>
  <c r="K376" i="9"/>
  <c r="L224" i="10"/>
  <c r="O224" i="10" s="1"/>
  <c r="K416" i="10"/>
  <c r="K419" i="10"/>
  <c r="K422" i="10"/>
  <c r="K425" i="10"/>
  <c r="K547" i="12"/>
  <c r="K173" i="13"/>
  <c r="N222" i="13"/>
  <c r="N220" i="13" s="1"/>
  <c r="N273" i="13"/>
  <c r="N271" i="13" s="1"/>
  <c r="K573" i="13"/>
  <c r="K219" i="15"/>
  <c r="N312" i="15"/>
  <c r="N310" i="15" s="1"/>
  <c r="O385" i="16"/>
  <c r="K397" i="16"/>
  <c r="K547" i="16"/>
  <c r="K435" i="18"/>
  <c r="O437" i="18"/>
  <c r="K464" i="18"/>
  <c r="P333" i="2"/>
  <c r="K424" i="2"/>
  <c r="K427" i="2"/>
  <c r="J218" i="1"/>
  <c r="N279" i="1"/>
  <c r="J285" i="1"/>
  <c r="J306" i="1"/>
  <c r="J350" i="1"/>
  <c r="I396" i="1"/>
  <c r="N409" i="1"/>
  <c r="I416" i="1"/>
  <c r="I419" i="1"/>
  <c r="K435" i="3"/>
  <c r="K630" i="3"/>
  <c r="K633" i="3"/>
  <c r="K422" i="4"/>
  <c r="O459" i="4"/>
  <c r="K109" i="5"/>
  <c r="K112" i="5"/>
  <c r="K199" i="5"/>
  <c r="N292" i="5"/>
  <c r="N290" i="5" s="1"/>
  <c r="K213" i="7"/>
  <c r="K424" i="9"/>
  <c r="K427" i="9"/>
  <c r="K430" i="9"/>
  <c r="L45" i="10"/>
  <c r="L43" i="10" s="1"/>
  <c r="L70" i="10"/>
  <c r="O70" i="10" s="1"/>
  <c r="O564" i="11"/>
  <c r="K158" i="12"/>
  <c r="N292" i="12"/>
  <c r="N290" i="12" s="1"/>
  <c r="O380" i="13"/>
  <c r="O383" i="13"/>
  <c r="O582" i="13"/>
  <c r="L98" i="14"/>
  <c r="L96" i="14" s="1"/>
  <c r="L94" i="14" s="1"/>
  <c r="K113" i="14"/>
  <c r="K149" i="14"/>
  <c r="N292" i="14"/>
  <c r="N290" i="14" s="1"/>
  <c r="K614" i="14"/>
  <c r="K573" i="15"/>
  <c r="K149" i="16"/>
  <c r="K420" i="16"/>
  <c r="K633" i="16"/>
  <c r="O354" i="17"/>
  <c r="O354" i="18"/>
  <c r="O439" i="2"/>
  <c r="J197" i="1"/>
  <c r="K201" i="3"/>
  <c r="K426" i="5"/>
  <c r="K429" i="5"/>
  <c r="K474" i="5"/>
  <c r="K173" i="6"/>
  <c r="K432" i="6"/>
  <c r="O455" i="6"/>
  <c r="K350" i="9"/>
  <c r="L144" i="10"/>
  <c r="L142" i="10" s="1"/>
  <c r="K423" i="10"/>
  <c r="K429" i="10"/>
  <c r="O437" i="10"/>
  <c r="K431" i="11"/>
  <c r="K620" i="11"/>
  <c r="N68" i="13"/>
  <c r="N66" i="13" s="1"/>
  <c r="K623" i="14"/>
  <c r="L275" i="15"/>
  <c r="L273" i="15" s="1"/>
  <c r="K533" i="16"/>
  <c r="K380" i="18"/>
  <c r="K401" i="18"/>
  <c r="N292" i="2"/>
  <c r="N290" i="2" s="1"/>
  <c r="N312" i="2"/>
  <c r="N310" i="2" s="1"/>
  <c r="O385" i="2"/>
  <c r="K474" i="2"/>
  <c r="K482" i="2"/>
  <c r="K573" i="2"/>
  <c r="I149" i="1"/>
  <c r="J163" i="1"/>
  <c r="J172" i="1"/>
  <c r="O435" i="3"/>
  <c r="L46" i="1"/>
  <c r="K138" i="4"/>
  <c r="K464" i="6"/>
  <c r="O102" i="7"/>
  <c r="K345" i="8"/>
  <c r="K435" i="9"/>
  <c r="K80" i="10"/>
  <c r="K595" i="10"/>
  <c r="K117" i="12"/>
  <c r="O537" i="12"/>
  <c r="P102" i="14"/>
  <c r="K111" i="14"/>
  <c r="L144" i="14"/>
  <c r="L142" i="14" s="1"/>
  <c r="L140" i="14" s="1"/>
  <c r="O406" i="14"/>
  <c r="O455" i="14"/>
  <c r="K618" i="14"/>
  <c r="K117" i="15"/>
  <c r="K421" i="16"/>
  <c r="K432" i="16"/>
  <c r="K634" i="16"/>
  <c r="P98" i="17"/>
  <c r="O349" i="17"/>
  <c r="N68" i="18"/>
  <c r="N66" i="18" s="1"/>
  <c r="N33" i="18"/>
  <c r="N13" i="18" s="1"/>
  <c r="J109" i="1"/>
  <c r="J112" i="1"/>
  <c r="N126" i="1"/>
  <c r="J132" i="1"/>
  <c r="J138" i="1"/>
  <c r="K380" i="3"/>
  <c r="J573" i="1"/>
  <c r="J580" i="1"/>
  <c r="N586" i="1"/>
  <c r="N601" i="1"/>
  <c r="J612" i="1"/>
  <c r="J615" i="1"/>
  <c r="J618" i="1"/>
  <c r="J621" i="1"/>
  <c r="J624" i="1"/>
  <c r="J655" i="1"/>
  <c r="J661" i="1"/>
  <c r="N142" i="4"/>
  <c r="N140" i="4" s="1"/>
  <c r="K426" i="4"/>
  <c r="L45" i="5"/>
  <c r="L43" i="5" s="1"/>
  <c r="L41" i="5" s="1"/>
  <c r="K92" i="5"/>
  <c r="L314" i="5"/>
  <c r="L312" i="5" s="1"/>
  <c r="O312" i="5" s="1"/>
  <c r="K424" i="5"/>
  <c r="K432" i="5"/>
  <c r="K328" i="6"/>
  <c r="K597" i="6"/>
  <c r="K345" i="7"/>
  <c r="K349" i="7"/>
  <c r="O354" i="7"/>
  <c r="K533" i="7"/>
  <c r="L275" i="8"/>
  <c r="L273" i="8" s="1"/>
  <c r="L271" i="8" s="1"/>
  <c r="K430" i="8"/>
  <c r="O533" i="8"/>
  <c r="K381" i="9"/>
  <c r="N68" i="10"/>
  <c r="N66" i="10" s="1"/>
  <c r="P337" i="10"/>
  <c r="O404" i="10"/>
  <c r="K201" i="11"/>
  <c r="K285" i="11"/>
  <c r="K455" i="12"/>
  <c r="K482" i="12"/>
  <c r="K620" i="12"/>
  <c r="K418" i="15"/>
  <c r="K424" i="15"/>
  <c r="K430" i="15"/>
  <c r="N43" i="16"/>
  <c r="N41" i="16" s="1"/>
  <c r="K547" i="17"/>
  <c r="O337" i="18"/>
  <c r="K350" i="18"/>
  <c r="O404" i="18"/>
  <c r="I189" i="1"/>
  <c r="I371" i="1"/>
  <c r="K371" i="1" s="1"/>
  <c r="I402" i="1"/>
  <c r="J79" i="1"/>
  <c r="J82" i="1"/>
  <c r="M96" i="2"/>
  <c r="P96" i="2" s="1"/>
  <c r="K132" i="2"/>
  <c r="N142" i="2"/>
  <c r="N140" i="2" s="1"/>
  <c r="O455" i="2"/>
  <c r="J593" i="1"/>
  <c r="O601" i="2"/>
  <c r="K626" i="2"/>
  <c r="M142" i="3"/>
  <c r="M140" i="3" s="1"/>
  <c r="K249" i="3"/>
  <c r="K368" i="3"/>
  <c r="O383" i="3"/>
  <c r="K398" i="3"/>
  <c r="O457" i="3"/>
  <c r="M43" i="4"/>
  <c r="M41" i="4" s="1"/>
  <c r="L59" i="1"/>
  <c r="M144" i="1"/>
  <c r="N439" i="1"/>
  <c r="N455" i="1"/>
  <c r="P144" i="2"/>
  <c r="K149" i="2"/>
  <c r="K158" i="2"/>
  <c r="J344" i="1"/>
  <c r="I422" i="1"/>
  <c r="O459" i="2"/>
  <c r="O553" i="2"/>
  <c r="K618" i="2"/>
  <c r="K631" i="2"/>
  <c r="K634" i="2"/>
  <c r="K93" i="3"/>
  <c r="K138" i="3"/>
  <c r="N142" i="3"/>
  <c r="L314" i="3"/>
  <c r="O314" i="3" s="1"/>
  <c r="O568" i="3"/>
  <c r="K573" i="3"/>
  <c r="K580" i="3"/>
  <c r="L74" i="1"/>
  <c r="I86" i="1"/>
  <c r="M98" i="1"/>
  <c r="I176" i="1"/>
  <c r="J201" i="1"/>
  <c r="N254" i="1"/>
  <c r="I369" i="1"/>
  <c r="K369" i="1" s="1"/>
  <c r="J117" i="1"/>
  <c r="K164" i="2"/>
  <c r="P224" i="2"/>
  <c r="K235" i="2"/>
  <c r="O437" i="2"/>
  <c r="K451" i="2"/>
  <c r="K455" i="2"/>
  <c r="L294" i="3"/>
  <c r="O294" i="3" s="1"/>
  <c r="O354" i="3"/>
  <c r="J671" i="3"/>
  <c r="L537" i="1"/>
  <c r="I592" i="1"/>
  <c r="K592" i="1" s="1"/>
  <c r="N45" i="1"/>
  <c r="N68" i="2"/>
  <c r="N66" i="2" s="1"/>
  <c r="L98" i="2"/>
  <c r="O98" i="2" s="1"/>
  <c r="L122" i="2"/>
  <c r="O122" i="2" s="1"/>
  <c r="P294" i="2"/>
  <c r="J301" i="1"/>
  <c r="K420" i="2"/>
  <c r="K426" i="2"/>
  <c r="L45" i="3"/>
  <c r="L43" i="3" s="1"/>
  <c r="L41" i="3" s="1"/>
  <c r="O437" i="3"/>
  <c r="K591" i="3"/>
  <c r="K597" i="3"/>
  <c r="I109" i="1"/>
  <c r="I133" i="1"/>
  <c r="M294" i="1"/>
  <c r="L384" i="1"/>
  <c r="O384" i="1" s="1"/>
  <c r="O582" i="2"/>
  <c r="I64" i="1"/>
  <c r="L146" i="1"/>
  <c r="J155" i="1"/>
  <c r="J160" i="1"/>
  <c r="J169" i="1"/>
  <c r="J182" i="1"/>
  <c r="J186" i="1"/>
  <c r="J401" i="1"/>
  <c r="N34" i="3"/>
  <c r="N14" i="3" s="1"/>
  <c r="M250" i="11"/>
  <c r="K80" i="4"/>
  <c r="K432" i="4"/>
  <c r="K455" i="4"/>
  <c r="O457" i="4"/>
  <c r="K481" i="4"/>
  <c r="K498" i="4"/>
  <c r="O551" i="4"/>
  <c r="K649" i="4"/>
  <c r="L254" i="5"/>
  <c r="O254" i="5" s="1"/>
  <c r="N222" i="4"/>
  <c r="P222" i="4" s="1"/>
  <c r="P275" i="4"/>
  <c r="K229" i="5"/>
  <c r="K597" i="5"/>
  <c r="K417" i="6"/>
  <c r="K465" i="6"/>
  <c r="N34" i="6"/>
  <c r="N14" i="6" s="1"/>
  <c r="O650" i="6"/>
  <c r="J149" i="1"/>
  <c r="J158" i="1"/>
  <c r="I173" i="1"/>
  <c r="J185" i="1"/>
  <c r="J203" i="1"/>
  <c r="J212" i="1"/>
  <c r="P275" i="7"/>
  <c r="J282" i="1"/>
  <c r="J287" i="1"/>
  <c r="L294" i="7"/>
  <c r="O294" i="7" s="1"/>
  <c r="J303" i="1"/>
  <c r="J308" i="1"/>
  <c r="N333" i="1"/>
  <c r="J339" i="1"/>
  <c r="J342" i="1"/>
  <c r="O380" i="7"/>
  <c r="J490" i="1"/>
  <c r="J501" i="1"/>
  <c r="J504" i="1"/>
  <c r="J510" i="1"/>
  <c r="I518" i="1"/>
  <c r="I521" i="1"/>
  <c r="I527" i="1"/>
  <c r="I530" i="1"/>
  <c r="N559" i="1"/>
  <c r="K564" i="7"/>
  <c r="N32" i="7"/>
  <c r="N30" i="7" s="1"/>
  <c r="N570" i="1"/>
  <c r="J578" i="1"/>
  <c r="O580" i="7"/>
  <c r="J594" i="1"/>
  <c r="N599" i="1"/>
  <c r="J613" i="1"/>
  <c r="J616" i="1"/>
  <c r="J625" i="1"/>
  <c r="N649" i="1"/>
  <c r="J668" i="1"/>
  <c r="J323" i="1"/>
  <c r="J328" i="1"/>
  <c r="J343" i="1"/>
  <c r="J346" i="1"/>
  <c r="N33" i="8"/>
  <c r="N13" i="8" s="1"/>
  <c r="J503" i="1"/>
  <c r="J506" i="1"/>
  <c r="J511" i="1"/>
  <c r="J514" i="1"/>
  <c r="N565" i="1"/>
  <c r="I631" i="1"/>
  <c r="J646" i="1"/>
  <c r="N651" i="1"/>
  <c r="J658" i="1"/>
  <c r="J662" i="1"/>
  <c r="N665" i="1"/>
  <c r="J83" i="1"/>
  <c r="J86" i="1"/>
  <c r="J89" i="1"/>
  <c r="J93" i="1"/>
  <c r="N96" i="9"/>
  <c r="N94" i="9" s="1"/>
  <c r="L333" i="9"/>
  <c r="O333" i="9" s="1"/>
  <c r="J392" i="1"/>
  <c r="J397" i="1"/>
  <c r="O406" i="9"/>
  <c r="J480" i="1"/>
  <c r="N553" i="1"/>
  <c r="N556" i="1"/>
  <c r="O564" i="9"/>
  <c r="N567" i="1"/>
  <c r="J579" i="1"/>
  <c r="N581" i="1"/>
  <c r="N584" i="1"/>
  <c r="K630" i="9"/>
  <c r="J110" i="1"/>
  <c r="L254" i="10"/>
  <c r="O254" i="10" s="1"/>
  <c r="J263" i="1"/>
  <c r="N535" i="1"/>
  <c r="N539" i="1"/>
  <c r="J550" i="1"/>
  <c r="K88" i="11"/>
  <c r="J217" i="1"/>
  <c r="P254" i="11"/>
  <c r="K340" i="11"/>
  <c r="K345" i="11"/>
  <c r="K372" i="11"/>
  <c r="K381" i="11"/>
  <c r="J422" i="1"/>
  <c r="I435" i="1"/>
  <c r="L437" i="1"/>
  <c r="N440" i="1"/>
  <c r="K455" i="11"/>
  <c r="O457" i="11"/>
  <c r="I628" i="1"/>
  <c r="N96" i="12"/>
  <c r="N94" i="12" s="1"/>
  <c r="L254" i="12"/>
  <c r="O254" i="12" s="1"/>
  <c r="K380" i="12"/>
  <c r="L71" i="1"/>
  <c r="J78" i="1"/>
  <c r="J260" i="1"/>
  <c r="L352" i="1"/>
  <c r="J361" i="1"/>
  <c r="K375" i="13"/>
  <c r="K474" i="13"/>
  <c r="K498" i="13"/>
  <c r="O599" i="13"/>
  <c r="N55" i="14"/>
  <c r="N53" i="14" s="1"/>
  <c r="L224" i="14"/>
  <c r="O224" i="14" s="1"/>
  <c r="K285" i="14"/>
  <c r="K370" i="14"/>
  <c r="O568" i="14"/>
  <c r="K625" i="14"/>
  <c r="N120" i="15"/>
  <c r="N118" i="15" s="1"/>
  <c r="K665" i="15"/>
  <c r="J321" i="1"/>
  <c r="K451" i="16"/>
  <c r="K455" i="16"/>
  <c r="O457" i="16"/>
  <c r="K482" i="16"/>
  <c r="K497" i="16"/>
  <c r="O566" i="16"/>
  <c r="K573" i="16"/>
  <c r="O582" i="16"/>
  <c r="O597" i="16"/>
  <c r="K92" i="17"/>
  <c r="L98" i="17"/>
  <c r="O98" i="17" s="1"/>
  <c r="K200" i="17"/>
  <c r="K266" i="17"/>
  <c r="K430" i="18"/>
  <c r="K92" i="4"/>
  <c r="L224" i="4"/>
  <c r="L222" i="4" s="1"/>
  <c r="K416" i="4"/>
  <c r="K430" i="4"/>
  <c r="O439" i="4"/>
  <c r="K482" i="4"/>
  <c r="K158" i="5"/>
  <c r="N273" i="5"/>
  <c r="N271" i="5" s="1"/>
  <c r="K455" i="5"/>
  <c r="K595" i="5"/>
  <c r="J629" i="1"/>
  <c r="J632" i="1"/>
  <c r="J635" i="1"/>
  <c r="J648" i="1"/>
  <c r="K81" i="6"/>
  <c r="L98" i="6"/>
  <c r="L96" i="6" s="1"/>
  <c r="L94" i="6" s="1"/>
  <c r="K629" i="6"/>
  <c r="K632" i="6"/>
  <c r="K65" i="7"/>
  <c r="K110" i="7"/>
  <c r="N26" i="8"/>
  <c r="N16" i="8" s="1"/>
  <c r="N120" i="8"/>
  <c r="N118" i="8" s="1"/>
  <c r="K397" i="8"/>
  <c r="O406" i="8"/>
  <c r="K564" i="8"/>
  <c r="K589" i="8"/>
  <c r="K628" i="8"/>
  <c r="P314" i="9"/>
  <c r="O661" i="9"/>
  <c r="N55" i="10"/>
  <c r="N53" i="10" s="1"/>
  <c r="L294" i="10"/>
  <c r="O294" i="10" s="1"/>
  <c r="K421" i="10"/>
  <c r="O553" i="10"/>
  <c r="N43" i="11"/>
  <c r="L254" i="11"/>
  <c r="O254" i="11" s="1"/>
  <c r="K235" i="12"/>
  <c r="L333" i="12"/>
  <c r="L331" i="12" s="1"/>
  <c r="O383" i="12"/>
  <c r="N31" i="12"/>
  <c r="N11" i="12" s="1"/>
  <c r="N9" i="12" s="1"/>
  <c r="K117" i="13"/>
  <c r="K133" i="13"/>
  <c r="N252" i="13"/>
  <c r="N250" i="13" s="1"/>
  <c r="N292" i="13"/>
  <c r="N290" i="13" s="1"/>
  <c r="O352" i="14"/>
  <c r="K401" i="14"/>
  <c r="O435" i="14"/>
  <c r="K466" i="14"/>
  <c r="K380" i="15"/>
  <c r="K611" i="15"/>
  <c r="K614" i="15"/>
  <c r="K630" i="15"/>
  <c r="O651" i="15"/>
  <c r="J651" i="15"/>
  <c r="K651" i="15" s="1"/>
  <c r="K80" i="16"/>
  <c r="N292" i="17"/>
  <c r="N290" i="17" s="1"/>
  <c r="N312" i="17"/>
  <c r="N310" i="17" s="1"/>
  <c r="L32" i="17"/>
  <c r="L30" i="17" s="1"/>
  <c r="K650" i="17"/>
  <c r="K92" i="18"/>
  <c r="K108" i="18"/>
  <c r="K111" i="18"/>
  <c r="L254" i="18"/>
  <c r="O254" i="18" s="1"/>
  <c r="N292" i="18"/>
  <c r="P292" i="18" s="1"/>
  <c r="K375" i="18"/>
  <c r="N31" i="18"/>
  <c r="N29" i="18" s="1"/>
  <c r="L354" i="1"/>
  <c r="J360" i="1"/>
  <c r="J365" i="1"/>
  <c r="J375" i="1"/>
  <c r="J379" i="1"/>
  <c r="N384" i="1"/>
  <c r="N389" i="1"/>
  <c r="J402" i="1"/>
  <c r="I466" i="1"/>
  <c r="I516" i="1"/>
  <c r="I519" i="1"/>
  <c r="I522" i="1"/>
  <c r="I525" i="1"/>
  <c r="I528" i="1"/>
  <c r="N122" i="1"/>
  <c r="J129" i="1"/>
  <c r="K133" i="5"/>
  <c r="N604" i="1"/>
  <c r="I614" i="1"/>
  <c r="I623" i="1"/>
  <c r="K113" i="6"/>
  <c r="L122" i="6"/>
  <c r="O122" i="6" s="1"/>
  <c r="K219" i="6"/>
  <c r="K265" i="6"/>
  <c r="K381" i="6"/>
  <c r="K427" i="6"/>
  <c r="N68" i="7"/>
  <c r="N66" i="7" s="1"/>
  <c r="L122" i="7"/>
  <c r="O122" i="7" s="1"/>
  <c r="K455" i="7"/>
  <c r="K474" i="7"/>
  <c r="K497" i="7"/>
  <c r="O533" i="7"/>
  <c r="K547" i="7"/>
  <c r="K149" i="8"/>
  <c r="K612" i="8"/>
  <c r="K616" i="8"/>
  <c r="N55" i="9"/>
  <c r="N53" i="9" s="1"/>
  <c r="K149" i="9"/>
  <c r="K158" i="9"/>
  <c r="L314" i="9"/>
  <c r="L312" i="9" s="1"/>
  <c r="L310" i="9" s="1"/>
  <c r="O310" i="9" s="1"/>
  <c r="K464" i="9"/>
  <c r="K573" i="10"/>
  <c r="J671" i="10"/>
  <c r="L45" i="11"/>
  <c r="O45" i="11" s="1"/>
  <c r="N96" i="11"/>
  <c r="N94" i="11" s="1"/>
  <c r="O349" i="11"/>
  <c r="N34" i="11"/>
  <c r="N14" i="11" s="1"/>
  <c r="K498" i="11"/>
  <c r="K595" i="11"/>
  <c r="L70" i="12"/>
  <c r="O70" i="12" s="1"/>
  <c r="N120" i="12"/>
  <c r="N118" i="12" s="1"/>
  <c r="K133" i="12"/>
  <c r="K285" i="12"/>
  <c r="K498" i="12"/>
  <c r="P314" i="13"/>
  <c r="O566" i="13"/>
  <c r="K593" i="13"/>
  <c r="L57" i="14"/>
  <c r="O57" i="14" s="1"/>
  <c r="N31" i="14"/>
  <c r="N29" i="14" s="1"/>
  <c r="K621" i="14"/>
  <c r="N96" i="15"/>
  <c r="N94" i="15" s="1"/>
  <c r="L34" i="16"/>
  <c r="K219" i="16"/>
  <c r="P275" i="16"/>
  <c r="O435" i="16"/>
  <c r="K449" i="16"/>
  <c r="K474" i="16"/>
  <c r="K93" i="17"/>
  <c r="N252" i="17"/>
  <c r="N250" i="17" s="1"/>
  <c r="N273" i="17"/>
  <c r="N271" i="17" s="1"/>
  <c r="K340" i="17"/>
  <c r="K375" i="17"/>
  <c r="J671" i="18"/>
  <c r="K671" i="18" s="1"/>
  <c r="K64" i="4"/>
  <c r="L70" i="4"/>
  <c r="O70" i="4" s="1"/>
  <c r="K173" i="4"/>
  <c r="K186" i="4"/>
  <c r="N252" i="4"/>
  <c r="P252" i="4" s="1"/>
  <c r="K265" i="4"/>
  <c r="N292" i="4"/>
  <c r="N290" i="4" s="1"/>
  <c r="K420" i="4"/>
  <c r="K425" i="4"/>
  <c r="K428" i="4"/>
  <c r="K449" i="5"/>
  <c r="O597" i="5"/>
  <c r="K88" i="7"/>
  <c r="K93" i="7"/>
  <c r="N43" i="8"/>
  <c r="N41" i="8" s="1"/>
  <c r="P98" i="8"/>
  <c r="N222" i="8"/>
  <c r="N220" i="8" s="1"/>
  <c r="O401" i="8"/>
  <c r="O404" i="8"/>
  <c r="O597" i="8"/>
  <c r="K614" i="8"/>
  <c r="N142" i="9"/>
  <c r="N140" i="9" s="1"/>
  <c r="L275" i="10"/>
  <c r="O275" i="10" s="1"/>
  <c r="K428" i="10"/>
  <c r="K635" i="10"/>
  <c r="M120" i="11"/>
  <c r="M118" i="11" s="1"/>
  <c r="K219" i="11"/>
  <c r="K267" i="11"/>
  <c r="N292" i="11"/>
  <c r="N290" i="11" s="1"/>
  <c r="K341" i="11"/>
  <c r="O380" i="11"/>
  <c r="O383" i="11"/>
  <c r="K629" i="11"/>
  <c r="K635" i="11"/>
  <c r="O649" i="11"/>
  <c r="K110" i="12"/>
  <c r="L122" i="12"/>
  <c r="O122" i="12" s="1"/>
  <c r="K264" i="12"/>
  <c r="K381" i="12"/>
  <c r="O435" i="12"/>
  <c r="K533" i="12"/>
  <c r="K270" i="13"/>
  <c r="M292" i="13"/>
  <c r="P292" i="13" s="1"/>
  <c r="L314" i="13"/>
  <c r="O314" i="13" s="1"/>
  <c r="P333" i="14"/>
  <c r="O347" i="14"/>
  <c r="O439" i="14"/>
  <c r="K138" i="15"/>
  <c r="K158" i="15"/>
  <c r="K216" i="15"/>
  <c r="L254" i="15"/>
  <c r="L252" i="15" s="1"/>
  <c r="K350" i="15"/>
  <c r="K377" i="15"/>
  <c r="O455" i="15"/>
  <c r="K466" i="15"/>
  <c r="L640" i="15"/>
  <c r="L638" i="15" s="1"/>
  <c r="L636" i="15" s="1"/>
  <c r="J671" i="15"/>
  <c r="K671" i="15" s="1"/>
  <c r="K189" i="16"/>
  <c r="P254" i="17"/>
  <c r="J671" i="17"/>
  <c r="K64" i="18"/>
  <c r="K267" i="18"/>
  <c r="O457" i="18"/>
  <c r="K591" i="18"/>
  <c r="K597" i="18"/>
  <c r="O599" i="18"/>
  <c r="K665" i="18"/>
  <c r="K668" i="18"/>
  <c r="L70" i="5"/>
  <c r="L68" i="5" s="1"/>
  <c r="O68" i="5" s="1"/>
  <c r="K589" i="5"/>
  <c r="K111" i="6"/>
  <c r="N273" i="6"/>
  <c r="N271" i="6" s="1"/>
  <c r="K370" i="6"/>
  <c r="K376" i="6"/>
  <c r="K380" i="6"/>
  <c r="K416" i="6"/>
  <c r="K428" i="6"/>
  <c r="K431" i="6"/>
  <c r="K435" i="6"/>
  <c r="O437" i="6"/>
  <c r="K499" i="6"/>
  <c r="K64" i="7"/>
  <c r="P98" i="7"/>
  <c r="K229" i="7"/>
  <c r="K235" i="7"/>
  <c r="L254" i="7"/>
  <c r="L252" i="7" s="1"/>
  <c r="O252" i="7" s="1"/>
  <c r="O537" i="7"/>
  <c r="L45" i="8"/>
  <c r="O45" i="8" s="1"/>
  <c r="K132" i="8"/>
  <c r="K138" i="8"/>
  <c r="K229" i="8"/>
  <c r="P275" i="8"/>
  <c r="K340" i="8"/>
  <c r="O601" i="8"/>
  <c r="K630" i="8"/>
  <c r="L144" i="9"/>
  <c r="O144" i="9" s="1"/>
  <c r="O352" i="9"/>
  <c r="K380" i="9"/>
  <c r="K396" i="9"/>
  <c r="K402" i="9"/>
  <c r="K419" i="9"/>
  <c r="K482" i="9"/>
  <c r="K564" i="9"/>
  <c r="O566" i="9"/>
  <c r="O580" i="9"/>
  <c r="K663" i="9"/>
  <c r="L122" i="10"/>
  <c r="O122" i="10" s="1"/>
  <c r="K381" i="10"/>
  <c r="P49" i="11"/>
  <c r="L224" i="11"/>
  <c r="L222" i="11" s="1"/>
  <c r="L220" i="11" s="1"/>
  <c r="L294" i="11"/>
  <c r="O294" i="11" s="1"/>
  <c r="L314" i="11"/>
  <c r="O314" i="11" s="1"/>
  <c r="K450" i="11"/>
  <c r="K464" i="11"/>
  <c r="K341" i="12"/>
  <c r="O349" i="12"/>
  <c r="K419" i="12"/>
  <c r="K425" i="12"/>
  <c r="K430" i="12"/>
  <c r="O459" i="12"/>
  <c r="K464" i="12"/>
  <c r="L45" i="13"/>
  <c r="L43" i="13" s="1"/>
  <c r="L41" i="13" s="1"/>
  <c r="K132" i="13"/>
  <c r="K396" i="13"/>
  <c r="K416" i="13"/>
  <c r="K435" i="13"/>
  <c r="K591" i="13"/>
  <c r="K164" i="14"/>
  <c r="L275" i="14"/>
  <c r="L273" i="14" s="1"/>
  <c r="L271" i="14" s="1"/>
  <c r="K372" i="14"/>
  <c r="K547" i="14"/>
  <c r="L57" i="15"/>
  <c r="L55" i="15" s="1"/>
  <c r="K65" i="15"/>
  <c r="K349" i="15"/>
  <c r="O354" i="15"/>
  <c r="K450" i="15"/>
  <c r="K547" i="15"/>
  <c r="K649" i="15"/>
  <c r="O650" i="15"/>
  <c r="L70" i="16"/>
  <c r="L68" i="16" s="1"/>
  <c r="K84" i="16"/>
  <c r="L122" i="16"/>
  <c r="L120" i="16" s="1"/>
  <c r="K200" i="16"/>
  <c r="L254" i="16"/>
  <c r="O254" i="16" s="1"/>
  <c r="K270" i="16"/>
  <c r="N292" i="16"/>
  <c r="N290" i="16" s="1"/>
  <c r="L333" i="16"/>
  <c r="O333" i="16" s="1"/>
  <c r="K340" i="16"/>
  <c r="K343" i="16"/>
  <c r="O349" i="16"/>
  <c r="O352" i="16"/>
  <c r="K376" i="16"/>
  <c r="K416" i="16"/>
  <c r="K427" i="16"/>
  <c r="K430" i="16"/>
  <c r="O459" i="16"/>
  <c r="O599" i="16"/>
  <c r="O651" i="16"/>
  <c r="N22" i="17"/>
  <c r="N331" i="17"/>
  <c r="N329" i="17" s="1"/>
  <c r="K396" i="17"/>
  <c r="O437" i="17"/>
  <c r="K632" i="17"/>
  <c r="K86" i="18"/>
  <c r="K164" i="18"/>
  <c r="K173" i="18"/>
  <c r="K249" i="18"/>
  <c r="K349" i="18"/>
  <c r="O380" i="18"/>
  <c r="O406" i="18"/>
  <c r="K423" i="18"/>
  <c r="K426" i="18"/>
  <c r="K474" i="18"/>
  <c r="K498" i="18"/>
  <c r="K547" i="18"/>
  <c r="O671" i="18"/>
  <c r="P292" i="2"/>
  <c r="M290" i="2"/>
  <c r="P290" i="2" s="1"/>
  <c r="M273" i="5"/>
  <c r="P275" i="5"/>
  <c r="O581" i="8"/>
  <c r="L31" i="8"/>
  <c r="L29" i="8" s="1"/>
  <c r="O29" i="8" s="1"/>
  <c r="I110" i="1"/>
  <c r="N144" i="1"/>
  <c r="J420" i="1"/>
  <c r="L457" i="1"/>
  <c r="I498" i="1"/>
  <c r="I508" i="1"/>
  <c r="K508" i="1" s="1"/>
  <c r="N580" i="1"/>
  <c r="I594" i="1"/>
  <c r="K594" i="1" s="1"/>
  <c r="M142" i="2"/>
  <c r="M222" i="2"/>
  <c r="M220" i="2" s="1"/>
  <c r="L256" i="1"/>
  <c r="J326" i="1"/>
  <c r="O380" i="2"/>
  <c r="K422" i="2"/>
  <c r="K464" i="2"/>
  <c r="N554" i="1"/>
  <c r="K622" i="2"/>
  <c r="N32" i="3"/>
  <c r="N30" i="3" s="1"/>
  <c r="I82" i="1"/>
  <c r="I85" i="1"/>
  <c r="I88" i="1"/>
  <c r="I93" i="1"/>
  <c r="J133" i="1"/>
  <c r="I164" i="1"/>
  <c r="L298" i="1"/>
  <c r="O298" i="1" s="1"/>
  <c r="L337" i="1"/>
  <c r="M337" i="1" s="1"/>
  <c r="P337" i="1" s="1"/>
  <c r="N354" i="1"/>
  <c r="L406" i="1"/>
  <c r="I421" i="1"/>
  <c r="I426" i="1"/>
  <c r="I449" i="1"/>
  <c r="L535" i="1"/>
  <c r="J564" i="1"/>
  <c r="I576" i="1"/>
  <c r="K576" i="1" s="1"/>
  <c r="I579" i="1"/>
  <c r="K579" i="1" s="1"/>
  <c r="L581" i="1"/>
  <c r="O581" i="1" s="1"/>
  <c r="I620" i="1"/>
  <c r="K65" i="2"/>
  <c r="N26" i="2"/>
  <c r="N16" i="2" s="1"/>
  <c r="P122" i="2"/>
  <c r="K328" i="2"/>
  <c r="L333" i="2"/>
  <c r="L331" i="2" s="1"/>
  <c r="K381" i="2"/>
  <c r="K396" i="2"/>
  <c r="J417" i="1"/>
  <c r="K423" i="2"/>
  <c r="J425" i="1"/>
  <c r="K428" i="2"/>
  <c r="K431" i="2"/>
  <c r="O457" i="2"/>
  <c r="O555" i="2"/>
  <c r="K560" i="2"/>
  <c r="O584" i="2"/>
  <c r="J589" i="1"/>
  <c r="K597" i="2"/>
  <c r="N598" i="1"/>
  <c r="K612" i="2"/>
  <c r="K428" i="5"/>
  <c r="O459" i="5"/>
  <c r="M120" i="7"/>
  <c r="P120" i="7" s="1"/>
  <c r="P122" i="7"/>
  <c r="P312" i="17"/>
  <c r="M310" i="17"/>
  <c r="P310" i="17" s="1"/>
  <c r="L58" i="1"/>
  <c r="J88" i="1"/>
  <c r="I108" i="1"/>
  <c r="I111" i="1"/>
  <c r="J164" i="1"/>
  <c r="M314" i="1"/>
  <c r="I344" i="1"/>
  <c r="K344" i="1" s="1"/>
  <c r="I350" i="1"/>
  <c r="N406" i="1"/>
  <c r="J426" i="1"/>
  <c r="I431" i="1"/>
  <c r="L435" i="1"/>
  <c r="L438" i="1"/>
  <c r="O438" i="1" s="1"/>
  <c r="I455" i="1"/>
  <c r="J474" i="1"/>
  <c r="I533" i="1"/>
  <c r="N564" i="1"/>
  <c r="I611" i="1"/>
  <c r="I649" i="1"/>
  <c r="I671" i="1"/>
  <c r="L31" i="2"/>
  <c r="L11" i="2" s="1"/>
  <c r="O11" i="2" s="1"/>
  <c r="L24" i="2"/>
  <c r="O24" i="2" s="1"/>
  <c r="J114" i="1"/>
  <c r="L316" i="1"/>
  <c r="M331" i="2"/>
  <c r="M329" i="2" s="1"/>
  <c r="J381" i="1"/>
  <c r="J423" i="1"/>
  <c r="N552" i="1"/>
  <c r="J597" i="1"/>
  <c r="K625" i="5"/>
  <c r="N102" i="1"/>
  <c r="I427" i="1"/>
  <c r="L536" i="1"/>
  <c r="O536" i="1" s="1"/>
  <c r="L554" i="1"/>
  <c r="O554" i="1" s="1"/>
  <c r="I634" i="1"/>
  <c r="I668" i="1"/>
  <c r="N222" i="2"/>
  <c r="N220" i="2" s="1"/>
  <c r="J267" i="1"/>
  <c r="O599" i="2"/>
  <c r="N603" i="1"/>
  <c r="J610" i="1"/>
  <c r="M68" i="4"/>
  <c r="P70" i="4"/>
  <c r="I138" i="1"/>
  <c r="I249" i="1"/>
  <c r="N275" i="1"/>
  <c r="I324" i="1"/>
  <c r="L334" i="1"/>
  <c r="I340" i="1"/>
  <c r="I423" i="1"/>
  <c r="J432" i="1"/>
  <c r="I472" i="1"/>
  <c r="K472" i="1" s="1"/>
  <c r="L533" i="1"/>
  <c r="I573" i="1"/>
  <c r="N55" i="2"/>
  <c r="L70" i="2"/>
  <c r="L68" i="2" s="1"/>
  <c r="P254" i="2"/>
  <c r="L275" i="2"/>
  <c r="O275" i="2" s="1"/>
  <c r="K324" i="2"/>
  <c r="K416" i="2"/>
  <c r="J429" i="1"/>
  <c r="O435" i="2"/>
  <c r="N572" i="1"/>
  <c r="N331" i="5"/>
  <c r="N329" i="5" s="1"/>
  <c r="M22" i="6"/>
  <c r="M12" i="6" s="1"/>
  <c r="K267" i="3"/>
  <c r="O564" i="3"/>
  <c r="O584" i="3"/>
  <c r="J651" i="3"/>
  <c r="L57" i="4"/>
  <c r="L55" i="4" s="1"/>
  <c r="K200" i="4"/>
  <c r="K213" i="4"/>
  <c r="K343" i="4"/>
  <c r="K397" i="4"/>
  <c r="K423" i="4"/>
  <c r="K449" i="4"/>
  <c r="K564" i="4"/>
  <c r="O580" i="4"/>
  <c r="K591" i="4"/>
  <c r="K597" i="4"/>
  <c r="O599" i="4"/>
  <c r="O649" i="4"/>
  <c r="J671" i="4"/>
  <c r="L32" i="5"/>
  <c r="L30" i="5" s="1"/>
  <c r="K200" i="5"/>
  <c r="P333" i="5"/>
  <c r="K341" i="5"/>
  <c r="O380" i="5"/>
  <c r="K398" i="5"/>
  <c r="L34" i="5"/>
  <c r="K464" i="5"/>
  <c r="K482" i="5"/>
  <c r="K499" i="5"/>
  <c r="O584" i="5"/>
  <c r="K630" i="5"/>
  <c r="K65" i="6"/>
  <c r="P224" i="6"/>
  <c r="K402" i="6"/>
  <c r="K81" i="7"/>
  <c r="K87" i="7"/>
  <c r="O351" i="7"/>
  <c r="L31" i="7"/>
  <c r="O31" i="7" s="1"/>
  <c r="O535" i="7"/>
  <c r="K117" i="8"/>
  <c r="K498" i="8"/>
  <c r="N26" i="9"/>
  <c r="N16" i="9" s="1"/>
  <c r="N120" i="3"/>
  <c r="N118" i="3" s="1"/>
  <c r="K424" i="3"/>
  <c r="K427" i="3"/>
  <c r="K430" i="3"/>
  <c r="N31" i="3"/>
  <c r="I612" i="1"/>
  <c r="P275" i="6"/>
  <c r="M273" i="6"/>
  <c r="M271" i="6" s="1"/>
  <c r="N292" i="6"/>
  <c r="N290" i="6" s="1"/>
  <c r="P70" i="8"/>
  <c r="M68" i="8"/>
  <c r="M66" i="8" s="1"/>
  <c r="M292" i="3"/>
  <c r="P292" i="3" s="1"/>
  <c r="N312" i="3"/>
  <c r="N310" i="3" s="1"/>
  <c r="K396" i="3"/>
  <c r="O582" i="3"/>
  <c r="K176" i="4"/>
  <c r="K219" i="4"/>
  <c r="K328" i="4"/>
  <c r="O347" i="4"/>
  <c r="K350" i="4"/>
  <c r="O380" i="4"/>
  <c r="K398" i="4"/>
  <c r="O401" i="4"/>
  <c r="K419" i="4"/>
  <c r="K431" i="4"/>
  <c r="K464" i="4"/>
  <c r="O553" i="4"/>
  <c r="K589" i="4"/>
  <c r="K595" i="4"/>
  <c r="O597" i="4"/>
  <c r="K189" i="5"/>
  <c r="L333" i="5"/>
  <c r="L331" i="5" s="1"/>
  <c r="N33" i="5"/>
  <c r="N13" i="5" s="1"/>
  <c r="N356" i="1"/>
  <c r="J363" i="1"/>
  <c r="I367" i="5"/>
  <c r="K367" i="5" s="1"/>
  <c r="K396" i="5"/>
  <c r="K427" i="5"/>
  <c r="K465" i="5"/>
  <c r="J485" i="1"/>
  <c r="J489" i="1"/>
  <c r="O601" i="5"/>
  <c r="K631" i="5"/>
  <c r="K112" i="6"/>
  <c r="P144" i="6"/>
  <c r="M142" i="6"/>
  <c r="M140" i="6" s="1"/>
  <c r="O564" i="6"/>
  <c r="K376" i="7"/>
  <c r="K397" i="7"/>
  <c r="K401" i="7"/>
  <c r="P122" i="8"/>
  <c r="M120" i="8"/>
  <c r="N292" i="8"/>
  <c r="N290" i="8" s="1"/>
  <c r="K482" i="8"/>
  <c r="O354" i="9"/>
  <c r="L34" i="9"/>
  <c r="J673" i="1"/>
  <c r="K65" i="3"/>
  <c r="P70" i="3"/>
  <c r="M96" i="3"/>
  <c r="M94" i="3" s="1"/>
  <c r="N222" i="3"/>
  <c r="N220" i="3" s="1"/>
  <c r="K265" i="3"/>
  <c r="K370" i="3"/>
  <c r="K628" i="3"/>
  <c r="K631" i="3"/>
  <c r="K634" i="3"/>
  <c r="P49" i="4"/>
  <c r="N96" i="4"/>
  <c r="N94" i="4" s="1"/>
  <c r="P122" i="4"/>
  <c r="K189" i="4"/>
  <c r="K199" i="4"/>
  <c r="K235" i="4"/>
  <c r="L254" i="4"/>
  <c r="O254" i="4" s="1"/>
  <c r="L275" i="4"/>
  <c r="O275" i="4" s="1"/>
  <c r="K417" i="4"/>
  <c r="K429" i="4"/>
  <c r="N43" i="5"/>
  <c r="N41" i="5" s="1"/>
  <c r="L57" i="5"/>
  <c r="L55" i="5" s="1"/>
  <c r="L98" i="5"/>
  <c r="K110" i="5"/>
  <c r="N120" i="5"/>
  <c r="N118" i="5" s="1"/>
  <c r="K219" i="5"/>
  <c r="P224" i="5"/>
  <c r="N312" i="5"/>
  <c r="N310" i="5" s="1"/>
  <c r="K425" i="5"/>
  <c r="O580" i="5"/>
  <c r="L70" i="6"/>
  <c r="O70" i="6" s="1"/>
  <c r="K350" i="6"/>
  <c r="K634" i="6"/>
  <c r="M222" i="7"/>
  <c r="P224" i="7"/>
  <c r="K371" i="7"/>
  <c r="I367" i="7"/>
  <c r="K367" i="7" s="1"/>
  <c r="K466" i="8"/>
  <c r="L70" i="3"/>
  <c r="L68" i="3" s="1"/>
  <c r="K81" i="3"/>
  <c r="N96" i="3"/>
  <c r="N94" i="3" s="1"/>
  <c r="K266" i="3"/>
  <c r="L333" i="3"/>
  <c r="L331" i="3" s="1"/>
  <c r="K340" i="3"/>
  <c r="O580" i="3"/>
  <c r="P98" i="4"/>
  <c r="K109" i="4"/>
  <c r="K112" i="4"/>
  <c r="L122" i="4"/>
  <c r="O122" i="4" s="1"/>
  <c r="K270" i="4"/>
  <c r="N31" i="4"/>
  <c r="N29" i="4" s="1"/>
  <c r="K372" i="4"/>
  <c r="K396" i="4"/>
  <c r="K427" i="4"/>
  <c r="K473" i="4"/>
  <c r="K593" i="4"/>
  <c r="O601" i="4"/>
  <c r="K628" i="4"/>
  <c r="K631" i="4"/>
  <c r="K634" i="4"/>
  <c r="K164" i="5"/>
  <c r="K173" i="5"/>
  <c r="K235" i="5"/>
  <c r="K285" i="5"/>
  <c r="K328" i="5"/>
  <c r="K397" i="5"/>
  <c r="K423" i="5"/>
  <c r="K629" i="5"/>
  <c r="K635" i="5"/>
  <c r="L26" i="6"/>
  <c r="L16" i="6" s="1"/>
  <c r="M252" i="6"/>
  <c r="P254" i="6"/>
  <c r="N33" i="6"/>
  <c r="N13" i="6" s="1"/>
  <c r="O435" i="6"/>
  <c r="K449" i="6"/>
  <c r="K591" i="7"/>
  <c r="K597" i="7"/>
  <c r="K629" i="7"/>
  <c r="O384" i="8"/>
  <c r="L33" i="8"/>
  <c r="O33" i="8" s="1"/>
  <c r="K402" i="8"/>
  <c r="L34" i="8"/>
  <c r="N32" i="9"/>
  <c r="N30" i="9" s="1"/>
  <c r="O438" i="9"/>
  <c r="L33" i="9"/>
  <c r="O33" i="9" s="1"/>
  <c r="N33" i="10"/>
  <c r="N13" i="10" s="1"/>
  <c r="K547" i="8"/>
  <c r="K573" i="8"/>
  <c r="K377" i="9"/>
  <c r="O435" i="9"/>
  <c r="K497" i="9"/>
  <c r="K616" i="9"/>
  <c r="K629" i="9"/>
  <c r="O665" i="9"/>
  <c r="N22" i="10"/>
  <c r="P275" i="10"/>
  <c r="O347" i="10"/>
  <c r="K396" i="10"/>
  <c r="N142" i="6"/>
  <c r="N140" i="6" s="1"/>
  <c r="O385" i="6"/>
  <c r="K397" i="6"/>
  <c r="K422" i="6"/>
  <c r="K497" i="6"/>
  <c r="K635" i="6"/>
  <c r="K108" i="7"/>
  <c r="K111" i="7"/>
  <c r="K340" i="7"/>
  <c r="O349" i="7"/>
  <c r="K398" i="7"/>
  <c r="N55" i="8"/>
  <c r="P55" i="8" s="1"/>
  <c r="N273" i="8"/>
  <c r="N271" i="8" s="1"/>
  <c r="K376" i="8"/>
  <c r="K416" i="8"/>
  <c r="K422" i="8"/>
  <c r="K428" i="8"/>
  <c r="K435" i="8"/>
  <c r="K474" i="8"/>
  <c r="K219" i="9"/>
  <c r="K345" i="9"/>
  <c r="K372" i="9"/>
  <c r="K375" i="9"/>
  <c r="K398" i="9"/>
  <c r="O404" i="9"/>
  <c r="O568" i="9"/>
  <c r="K635" i="9"/>
  <c r="L31" i="10"/>
  <c r="O31" i="10" s="1"/>
  <c r="N120" i="10"/>
  <c r="N118" i="10" s="1"/>
  <c r="K340" i="10"/>
  <c r="K450" i="10"/>
  <c r="M312" i="11"/>
  <c r="P312" i="11" s="1"/>
  <c r="P314" i="11"/>
  <c r="P314" i="12"/>
  <c r="M312" i="12"/>
  <c r="K88" i="6"/>
  <c r="L144" i="6"/>
  <c r="L142" i="6" s="1"/>
  <c r="L140" i="6" s="1"/>
  <c r="K189" i="6"/>
  <c r="K199" i="6"/>
  <c r="O535" i="6"/>
  <c r="O568" i="6"/>
  <c r="K618" i="6"/>
  <c r="J651" i="6"/>
  <c r="K651" i="6" s="1"/>
  <c r="K109" i="7"/>
  <c r="N312" i="7"/>
  <c r="N310" i="7" s="1"/>
  <c r="K481" i="7"/>
  <c r="K595" i="7"/>
  <c r="N96" i="8"/>
  <c r="N94" i="8" s="1"/>
  <c r="K108" i="8"/>
  <c r="K113" i="8"/>
  <c r="N142" i="8"/>
  <c r="N140" i="8" s="1"/>
  <c r="K204" i="8"/>
  <c r="K350" i="8"/>
  <c r="K377" i="8"/>
  <c r="K401" i="8"/>
  <c r="O437" i="8"/>
  <c r="K499" i="8"/>
  <c r="O537" i="8"/>
  <c r="K580" i="8"/>
  <c r="K629" i="8"/>
  <c r="K635" i="8"/>
  <c r="K189" i="9"/>
  <c r="K199" i="9"/>
  <c r="K229" i="9"/>
  <c r="K235" i="9"/>
  <c r="O439" i="9"/>
  <c r="K450" i="9"/>
  <c r="K474" i="9"/>
  <c r="O650" i="9"/>
  <c r="N96" i="10"/>
  <c r="N94" i="10" s="1"/>
  <c r="K149" i="10"/>
  <c r="K201" i="10"/>
  <c r="N292" i="10"/>
  <c r="N290" i="10" s="1"/>
  <c r="M312" i="10"/>
  <c r="P312" i="10" s="1"/>
  <c r="K328" i="10"/>
  <c r="O380" i="10"/>
  <c r="K417" i="10"/>
  <c r="K455" i="10"/>
  <c r="O354" i="12"/>
  <c r="L34" i="12"/>
  <c r="O49" i="6"/>
  <c r="L275" i="6"/>
  <c r="O275" i="6" s="1"/>
  <c r="K420" i="6"/>
  <c r="K455" i="6"/>
  <c r="O597" i="6"/>
  <c r="L640" i="6"/>
  <c r="L638" i="6" s="1"/>
  <c r="K650" i="6"/>
  <c r="O651" i="6"/>
  <c r="L224" i="7"/>
  <c r="L222" i="7" s="1"/>
  <c r="L314" i="7"/>
  <c r="L312" i="7" s="1"/>
  <c r="O312" i="7" s="1"/>
  <c r="K328" i="7"/>
  <c r="N331" i="7"/>
  <c r="N329" i="7" s="1"/>
  <c r="O352" i="7"/>
  <c r="K375" i="7"/>
  <c r="K421" i="7"/>
  <c r="O439" i="7"/>
  <c r="K619" i="8"/>
  <c r="L24" i="9"/>
  <c r="O24" i="9" s="1"/>
  <c r="N68" i="9"/>
  <c r="N66" i="9" s="1"/>
  <c r="K612" i="9"/>
  <c r="L640" i="9"/>
  <c r="L638" i="9" s="1"/>
  <c r="L636" i="9" s="1"/>
  <c r="N273" i="10"/>
  <c r="N271" i="10" s="1"/>
  <c r="P98" i="6"/>
  <c r="N222" i="6"/>
  <c r="N220" i="6" s="1"/>
  <c r="K267" i="6"/>
  <c r="K343" i="6"/>
  <c r="O349" i="6"/>
  <c r="I367" i="6"/>
  <c r="K367" i="6" s="1"/>
  <c r="O401" i="6"/>
  <c r="K421" i="6"/>
  <c r="K482" i="6"/>
  <c r="O533" i="6"/>
  <c r="O566" i="6"/>
  <c r="K628" i="6"/>
  <c r="K631" i="6"/>
  <c r="K663" i="6"/>
  <c r="P70" i="7"/>
  <c r="P144" i="7"/>
  <c r="K199" i="7"/>
  <c r="K216" i="7"/>
  <c r="P333" i="7"/>
  <c r="K370" i="7"/>
  <c r="K402" i="7"/>
  <c r="K419" i="7"/>
  <c r="K425" i="7"/>
  <c r="K431" i="7"/>
  <c r="K435" i="7"/>
  <c r="O437" i="7"/>
  <c r="K451" i="7"/>
  <c r="K473" i="7"/>
  <c r="K482" i="7"/>
  <c r="K631" i="7"/>
  <c r="M142" i="8"/>
  <c r="M140" i="8" s="1"/>
  <c r="K285" i="8"/>
  <c r="L314" i="8"/>
  <c r="O314" i="8" s="1"/>
  <c r="K349" i="8"/>
  <c r="K370" i="8"/>
  <c r="K375" i="8"/>
  <c r="K398" i="8"/>
  <c r="O457" i="8"/>
  <c r="K618" i="8"/>
  <c r="K633" i="8"/>
  <c r="N644" i="8"/>
  <c r="N640" i="8" s="1"/>
  <c r="N638" i="8" s="1"/>
  <c r="N636" i="8" s="1"/>
  <c r="J651" i="8"/>
  <c r="K164" i="9"/>
  <c r="K173" i="9"/>
  <c r="L224" i="9"/>
  <c r="O224" i="9" s="1"/>
  <c r="N292" i="9"/>
  <c r="N290" i="9" s="1"/>
  <c r="O385" i="9"/>
  <c r="K397" i="9"/>
  <c r="K401" i="9"/>
  <c r="K417" i="9"/>
  <c r="K431" i="9"/>
  <c r="K455" i="9"/>
  <c r="O584" i="9"/>
  <c r="K589" i="9"/>
  <c r="O599" i="9"/>
  <c r="N644" i="9"/>
  <c r="N640" i="9" s="1"/>
  <c r="N638" i="9" s="1"/>
  <c r="N636" i="9" s="1"/>
  <c r="O651" i="9"/>
  <c r="K668" i="9"/>
  <c r="N26" i="10"/>
  <c r="N16" i="10" s="1"/>
  <c r="P57" i="10"/>
  <c r="K64" i="10"/>
  <c r="K164" i="10"/>
  <c r="K173" i="10"/>
  <c r="K189" i="10"/>
  <c r="M222" i="10"/>
  <c r="P222" i="10" s="1"/>
  <c r="K285" i="10"/>
  <c r="L333" i="10"/>
  <c r="L331" i="10" s="1"/>
  <c r="K418" i="10"/>
  <c r="N26" i="11"/>
  <c r="N16" i="11" s="1"/>
  <c r="L57" i="11"/>
  <c r="L55" i="11" s="1"/>
  <c r="N273" i="11"/>
  <c r="N271" i="11" s="1"/>
  <c r="N312" i="11"/>
  <c r="N310" i="11" s="1"/>
  <c r="K349" i="11"/>
  <c r="K368" i="11"/>
  <c r="K420" i="11"/>
  <c r="K423" i="11"/>
  <c r="K426" i="11"/>
  <c r="K497" i="11"/>
  <c r="K631" i="11"/>
  <c r="O102" i="12"/>
  <c r="N142" i="12"/>
  <c r="N140" i="12" s="1"/>
  <c r="K164" i="12"/>
  <c r="K189" i="12"/>
  <c r="K267" i="12"/>
  <c r="K398" i="12"/>
  <c r="O404" i="12"/>
  <c r="O437" i="12"/>
  <c r="K635" i="12"/>
  <c r="J671" i="12"/>
  <c r="L31" i="13"/>
  <c r="O31" i="13" s="1"/>
  <c r="N120" i="13"/>
  <c r="N118" i="13" s="1"/>
  <c r="M252" i="13"/>
  <c r="K343" i="13"/>
  <c r="O349" i="13"/>
  <c r="N32" i="13"/>
  <c r="N30" i="13" s="1"/>
  <c r="I367" i="13"/>
  <c r="K367" i="13" s="1"/>
  <c r="N26" i="16"/>
  <c r="N16" i="16" s="1"/>
  <c r="K424" i="10"/>
  <c r="K427" i="10"/>
  <c r="K564" i="10"/>
  <c r="O599" i="10"/>
  <c r="K631" i="10"/>
  <c r="P70" i="11"/>
  <c r="K84" i="11"/>
  <c r="K264" i="11"/>
  <c r="O404" i="11"/>
  <c r="K432" i="11"/>
  <c r="K449" i="11"/>
  <c r="K466" i="11"/>
  <c r="K622" i="11"/>
  <c r="K648" i="11"/>
  <c r="L57" i="12"/>
  <c r="L55" i="12" s="1"/>
  <c r="L53" i="12" s="1"/>
  <c r="L144" i="12"/>
  <c r="L142" i="12" s="1"/>
  <c r="N222" i="12"/>
  <c r="P222" i="12" s="1"/>
  <c r="P254" i="12"/>
  <c r="L314" i="12"/>
  <c r="O314" i="12" s="1"/>
  <c r="K350" i="12"/>
  <c r="K370" i="12"/>
  <c r="K418" i="12"/>
  <c r="K421" i="12"/>
  <c r="K449" i="12"/>
  <c r="K466" i="12"/>
  <c r="K473" i="12"/>
  <c r="K630" i="12"/>
  <c r="L26" i="13"/>
  <c r="L16" i="13" s="1"/>
  <c r="N96" i="13"/>
  <c r="N94" i="13" s="1"/>
  <c r="P122" i="13"/>
  <c r="K328" i="13"/>
  <c r="K350" i="13"/>
  <c r="K397" i="13"/>
  <c r="K229" i="14"/>
  <c r="O582" i="14"/>
  <c r="L23" i="16"/>
  <c r="O23" i="16" s="1"/>
  <c r="K482" i="10"/>
  <c r="K497" i="10"/>
  <c r="K186" i="11"/>
  <c r="K265" i="11"/>
  <c r="O354" i="11"/>
  <c r="K421" i="11"/>
  <c r="K424" i="11"/>
  <c r="K474" i="11"/>
  <c r="K265" i="12"/>
  <c r="L294" i="12"/>
  <c r="O294" i="12" s="1"/>
  <c r="K328" i="12"/>
  <c r="K349" i="12"/>
  <c r="K402" i="12"/>
  <c r="O601" i="12"/>
  <c r="K189" i="13"/>
  <c r="K199" i="13"/>
  <c r="K219" i="13"/>
  <c r="K229" i="13"/>
  <c r="K235" i="13"/>
  <c r="P333" i="13"/>
  <c r="K368" i="13"/>
  <c r="K380" i="13"/>
  <c r="K369" i="14"/>
  <c r="I367" i="14"/>
  <c r="K367" i="14" s="1"/>
  <c r="K164" i="15"/>
  <c r="P275" i="15"/>
  <c r="M273" i="15"/>
  <c r="M271" i="15" s="1"/>
  <c r="K133" i="11"/>
  <c r="K591" i="11"/>
  <c r="L640" i="11"/>
  <c r="L638" i="11" s="1"/>
  <c r="K108" i="12"/>
  <c r="K474" i="12"/>
  <c r="K465" i="10"/>
  <c r="K474" i="10"/>
  <c r="K498" i="10"/>
  <c r="K547" i="10"/>
  <c r="K551" i="10"/>
  <c r="O582" i="10"/>
  <c r="K593" i="10"/>
  <c r="M43" i="11"/>
  <c r="M41" i="11" s="1"/>
  <c r="N55" i="11"/>
  <c r="N53" i="11" s="1"/>
  <c r="K64" i="11"/>
  <c r="K229" i="11"/>
  <c r="L275" i="11"/>
  <c r="O275" i="11" s="1"/>
  <c r="K328" i="11"/>
  <c r="K350" i="11"/>
  <c r="K370" i="11"/>
  <c r="K376" i="11"/>
  <c r="O385" i="11"/>
  <c r="K397" i="11"/>
  <c r="K419" i="11"/>
  <c r="K425" i="11"/>
  <c r="K428" i="11"/>
  <c r="K589" i="11"/>
  <c r="O599" i="11"/>
  <c r="K626" i="11"/>
  <c r="K633" i="11"/>
  <c r="K665" i="11"/>
  <c r="O49" i="12"/>
  <c r="K249" i="12"/>
  <c r="M252" i="12"/>
  <c r="M292" i="12"/>
  <c r="P292" i="12" s="1"/>
  <c r="K377" i="12"/>
  <c r="O406" i="12"/>
  <c r="O439" i="12"/>
  <c r="O535" i="12"/>
  <c r="K564" i="12"/>
  <c r="K597" i="12"/>
  <c r="L122" i="13"/>
  <c r="O122" i="13" s="1"/>
  <c r="L224" i="13"/>
  <c r="O224" i="13" s="1"/>
  <c r="N312" i="13"/>
  <c r="N310" i="13" s="1"/>
  <c r="L333" i="13"/>
  <c r="L331" i="13" s="1"/>
  <c r="L329" i="13" s="1"/>
  <c r="K345" i="13"/>
  <c r="O401" i="13"/>
  <c r="K421" i="13"/>
  <c r="K424" i="13"/>
  <c r="K427" i="13"/>
  <c r="K430" i="13"/>
  <c r="O455" i="13"/>
  <c r="L24" i="16"/>
  <c r="O24" i="16" s="1"/>
  <c r="L45" i="16"/>
  <c r="O45" i="16" s="1"/>
  <c r="K423" i="13"/>
  <c r="K426" i="13"/>
  <c r="K429" i="13"/>
  <c r="K432" i="13"/>
  <c r="O437" i="13"/>
  <c r="K455" i="13"/>
  <c r="K482" i="13"/>
  <c r="O535" i="13"/>
  <c r="K595" i="13"/>
  <c r="L70" i="14"/>
  <c r="L68" i="14" s="1"/>
  <c r="K93" i="14"/>
  <c r="K110" i="14"/>
  <c r="P144" i="14"/>
  <c r="K341" i="14"/>
  <c r="K396" i="14"/>
  <c r="O404" i="14"/>
  <c r="O537" i="14"/>
  <c r="O553" i="14"/>
  <c r="K628" i="14"/>
  <c r="P70" i="15"/>
  <c r="K173" i="15"/>
  <c r="K213" i="15"/>
  <c r="M312" i="15"/>
  <c r="P312" i="15" s="1"/>
  <c r="O337" i="15"/>
  <c r="K372" i="15"/>
  <c r="O401" i="15"/>
  <c r="O404" i="15"/>
  <c r="K449" i="15"/>
  <c r="K474" i="15"/>
  <c r="K482" i="15"/>
  <c r="K499" i="15"/>
  <c r="K533" i="15"/>
  <c r="O537" i="15"/>
  <c r="K564" i="15"/>
  <c r="O566" i="15"/>
  <c r="K597" i="15"/>
  <c r="O599" i="15"/>
  <c r="K64" i="16"/>
  <c r="N142" i="14"/>
  <c r="N140" i="14" s="1"/>
  <c r="P140" i="14" s="1"/>
  <c r="K617" i="14"/>
  <c r="K613" i="14"/>
  <c r="N68" i="15"/>
  <c r="N66" i="15" s="1"/>
  <c r="L98" i="15"/>
  <c r="O98" i="15" s="1"/>
  <c r="O148" i="15"/>
  <c r="N252" i="15"/>
  <c r="N250" i="15" s="1"/>
  <c r="P333" i="15"/>
  <c r="O347" i="15"/>
  <c r="K370" i="15"/>
  <c r="K375" i="15"/>
  <c r="K631" i="15"/>
  <c r="K634" i="15"/>
  <c r="L144" i="16"/>
  <c r="O144" i="16" s="1"/>
  <c r="P224" i="16"/>
  <c r="N644" i="13"/>
  <c r="N640" i="13" s="1"/>
  <c r="N638" i="13" s="1"/>
  <c r="N636" i="13" s="1"/>
  <c r="M66" i="14"/>
  <c r="K350" i="14"/>
  <c r="K533" i="14"/>
  <c r="O535" i="14"/>
  <c r="O551" i="14"/>
  <c r="K564" i="14"/>
  <c r="O597" i="14"/>
  <c r="K629" i="14"/>
  <c r="K132" i="15"/>
  <c r="L224" i="15"/>
  <c r="L222" i="15" s="1"/>
  <c r="K189" i="14"/>
  <c r="N222" i="14"/>
  <c r="N220" i="14" s="1"/>
  <c r="N34" i="14"/>
  <c r="O439" i="15"/>
  <c r="O533" i="15"/>
  <c r="O661" i="15"/>
  <c r="K65" i="16"/>
  <c r="K235" i="16"/>
  <c r="K422" i="13"/>
  <c r="K425" i="13"/>
  <c r="K428" i="13"/>
  <c r="O439" i="13"/>
  <c r="K464" i="13"/>
  <c r="O537" i="13"/>
  <c r="K622" i="13"/>
  <c r="K629" i="13"/>
  <c r="P70" i="14"/>
  <c r="K112" i="14"/>
  <c r="K173" i="14"/>
  <c r="P224" i="14"/>
  <c r="L314" i="14"/>
  <c r="L312" i="14" s="1"/>
  <c r="K328" i="14"/>
  <c r="K343" i="14"/>
  <c r="O354" i="14"/>
  <c r="K375" i="14"/>
  <c r="O380" i="14"/>
  <c r="K398" i="14"/>
  <c r="K417" i="14"/>
  <c r="K423" i="14"/>
  <c r="K429" i="14"/>
  <c r="K449" i="14"/>
  <c r="O533" i="14"/>
  <c r="O601" i="14"/>
  <c r="K620" i="14"/>
  <c r="K622" i="14"/>
  <c r="K624" i="14"/>
  <c r="K64" i="15"/>
  <c r="K82" i="15"/>
  <c r="P122" i="15"/>
  <c r="N292" i="15"/>
  <c r="N290" i="15" s="1"/>
  <c r="K376" i="15"/>
  <c r="K397" i="15"/>
  <c r="K401" i="15"/>
  <c r="O406" i="15"/>
  <c r="K417" i="15"/>
  <c r="K423" i="15"/>
  <c r="K429" i="15"/>
  <c r="O459" i="15"/>
  <c r="K464" i="15"/>
  <c r="K481" i="15"/>
  <c r="K498" i="15"/>
  <c r="O568" i="15"/>
  <c r="K632" i="15"/>
  <c r="N68" i="16"/>
  <c r="N66" i="16" s="1"/>
  <c r="P314" i="16"/>
  <c r="M312" i="16"/>
  <c r="M310" i="16" s="1"/>
  <c r="P310" i="16" s="1"/>
  <c r="N96" i="16"/>
  <c r="N94" i="16" s="1"/>
  <c r="K117" i="16"/>
  <c r="K345" i="16"/>
  <c r="K349" i="16"/>
  <c r="O354" i="16"/>
  <c r="K377" i="16"/>
  <c r="K401" i="16"/>
  <c r="K417" i="16"/>
  <c r="K428" i="16"/>
  <c r="K481" i="16"/>
  <c r="M292" i="17"/>
  <c r="P292" i="17" s="1"/>
  <c r="L333" i="17"/>
  <c r="O333" i="17" s="1"/>
  <c r="O404" i="17"/>
  <c r="L34" i="18"/>
  <c r="N120" i="18"/>
  <c r="N118" i="18" s="1"/>
  <c r="L294" i="18"/>
  <c r="O294" i="18" s="1"/>
  <c r="N312" i="18"/>
  <c r="P312" i="18" s="1"/>
  <c r="K343" i="18"/>
  <c r="K377" i="18"/>
  <c r="N34" i="18"/>
  <c r="N14" i="18" s="1"/>
  <c r="K420" i="18"/>
  <c r="L98" i="16"/>
  <c r="O98" i="16" s="1"/>
  <c r="K133" i="16"/>
  <c r="M273" i="16"/>
  <c r="L294" i="16"/>
  <c r="L292" i="16" s="1"/>
  <c r="L290" i="16" s="1"/>
  <c r="O290" i="16" s="1"/>
  <c r="N34" i="16"/>
  <c r="N14" i="16" s="1"/>
  <c r="K381" i="16"/>
  <c r="K423" i="16"/>
  <c r="K435" i="16"/>
  <c r="O439" i="16"/>
  <c r="O455" i="16"/>
  <c r="K499" i="16"/>
  <c r="O533" i="16"/>
  <c r="K591" i="16"/>
  <c r="K597" i="16"/>
  <c r="K612" i="16"/>
  <c r="J651" i="16"/>
  <c r="K651" i="16" s="1"/>
  <c r="K663" i="16"/>
  <c r="L70" i="17"/>
  <c r="L68" i="17" s="1"/>
  <c r="K110" i="17"/>
  <c r="K133" i="17"/>
  <c r="K176" i="17"/>
  <c r="L294" i="17"/>
  <c r="L292" i="17" s="1"/>
  <c r="K345" i="17"/>
  <c r="K449" i="17"/>
  <c r="K474" i="17"/>
  <c r="K482" i="17"/>
  <c r="K499" i="17"/>
  <c r="K533" i="17"/>
  <c r="K634" i="17"/>
  <c r="K82" i="18"/>
  <c r="L122" i="18"/>
  <c r="O122" i="18" s="1"/>
  <c r="L144" i="18"/>
  <c r="O144" i="18" s="1"/>
  <c r="N222" i="18"/>
  <c r="N220" i="18" s="1"/>
  <c r="K265" i="18"/>
  <c r="K341" i="18"/>
  <c r="O349" i="18"/>
  <c r="K418" i="18"/>
  <c r="K424" i="18"/>
  <c r="K449" i="18"/>
  <c r="K455" i="18"/>
  <c r="K482" i="18"/>
  <c r="K573" i="18"/>
  <c r="K580" i="18"/>
  <c r="O582" i="18"/>
  <c r="O597" i="18"/>
  <c r="K629" i="18"/>
  <c r="K632" i="18"/>
  <c r="K635" i="18"/>
  <c r="K418" i="16"/>
  <c r="K429" i="16"/>
  <c r="K450" i="16"/>
  <c r="L144" i="17"/>
  <c r="L142" i="17" s="1"/>
  <c r="L140" i="17" s="1"/>
  <c r="K402" i="17"/>
  <c r="K419" i="17"/>
  <c r="K425" i="17"/>
  <c r="K431" i="17"/>
  <c r="K564" i="18"/>
  <c r="O568" i="16"/>
  <c r="K580" i="16"/>
  <c r="O584" i="16"/>
  <c r="K589" i="16"/>
  <c r="K595" i="16"/>
  <c r="O555" i="17"/>
  <c r="K620" i="17"/>
  <c r="K635" i="17"/>
  <c r="K663" i="17"/>
  <c r="K80" i="18"/>
  <c r="K88" i="18"/>
  <c r="K266" i="18"/>
  <c r="O455" i="18"/>
  <c r="K497" i="18"/>
  <c r="K619" i="18"/>
  <c r="K424" i="16"/>
  <c r="M22" i="17"/>
  <c r="M12" i="17" s="1"/>
  <c r="L122" i="17"/>
  <c r="L120" i="17" s="1"/>
  <c r="L118" i="17" s="1"/>
  <c r="K173" i="17"/>
  <c r="P314" i="17"/>
  <c r="O352" i="17"/>
  <c r="O459" i="17"/>
  <c r="K376" i="18"/>
  <c r="O566" i="18"/>
  <c r="K464" i="16"/>
  <c r="N222" i="17"/>
  <c r="N220" i="17" s="1"/>
  <c r="I367" i="17"/>
  <c r="K367" i="17" s="1"/>
  <c r="K372" i="17"/>
  <c r="O380" i="17"/>
  <c r="K633" i="17"/>
  <c r="N43" i="18"/>
  <c r="N41" i="18" s="1"/>
  <c r="K264" i="18"/>
  <c r="K465" i="18"/>
  <c r="K481" i="18"/>
  <c r="O564" i="18"/>
  <c r="O651" i="18"/>
  <c r="M250" i="2"/>
  <c r="P250" i="2" s="1"/>
  <c r="P252" i="2"/>
  <c r="M310" i="2"/>
  <c r="N43" i="2"/>
  <c r="N41" i="2" s="1"/>
  <c r="M120" i="2"/>
  <c r="P314" i="2"/>
  <c r="K629" i="2"/>
  <c r="N644" i="2"/>
  <c r="N640" i="2" s="1"/>
  <c r="N638" i="2" s="1"/>
  <c r="N636" i="2" s="1"/>
  <c r="O352" i="3"/>
  <c r="L32" i="3"/>
  <c r="I367" i="3"/>
  <c r="K367" i="3" s="1"/>
  <c r="O385" i="3"/>
  <c r="L34" i="3"/>
  <c r="M310" i="4"/>
  <c r="J194" i="1"/>
  <c r="O583" i="3"/>
  <c r="L33" i="3"/>
  <c r="O33" i="3" s="1"/>
  <c r="P57" i="5"/>
  <c r="M55" i="5"/>
  <c r="M53" i="5" s="1"/>
  <c r="P70" i="5"/>
  <c r="M68" i="5"/>
  <c r="L45" i="2"/>
  <c r="L43" i="2" s="1"/>
  <c r="L144" i="2"/>
  <c r="L142" i="2" s="1"/>
  <c r="K418" i="2"/>
  <c r="K64" i="3"/>
  <c r="K88" i="3"/>
  <c r="P102" i="3"/>
  <c r="M26" i="3"/>
  <c r="M16" i="3" s="1"/>
  <c r="P294" i="4"/>
  <c r="M292" i="4"/>
  <c r="P292" i="4" s="1"/>
  <c r="L640" i="4"/>
  <c r="L638" i="4" s="1"/>
  <c r="N68" i="5"/>
  <c r="N66" i="5" s="1"/>
  <c r="P254" i="5"/>
  <c r="M252" i="5"/>
  <c r="K189" i="2"/>
  <c r="K199" i="2"/>
  <c r="K270" i="2"/>
  <c r="O580" i="2"/>
  <c r="L45" i="4"/>
  <c r="L43" i="4" s="1"/>
  <c r="L41" i="4" s="1"/>
  <c r="L23" i="4"/>
  <c r="O23" i="4" s="1"/>
  <c r="N252" i="5"/>
  <c r="N250" i="5" s="1"/>
  <c r="K369" i="2"/>
  <c r="I367" i="2"/>
  <c r="K367" i="2" s="1"/>
  <c r="K619" i="3"/>
  <c r="K617" i="3"/>
  <c r="K615" i="3"/>
  <c r="K613" i="3"/>
  <c r="K611" i="3"/>
  <c r="K618" i="3"/>
  <c r="K616" i="3"/>
  <c r="K614" i="3"/>
  <c r="K612" i="3"/>
  <c r="N32" i="4"/>
  <c r="N30" i="4" s="1"/>
  <c r="M118" i="5"/>
  <c r="K398" i="2"/>
  <c r="K430" i="2"/>
  <c r="K564" i="2"/>
  <c r="P314" i="3"/>
  <c r="M312" i="3"/>
  <c r="M310" i="3" s="1"/>
  <c r="P310" i="3" s="1"/>
  <c r="O565" i="3"/>
  <c r="L31" i="3"/>
  <c r="L11" i="3" s="1"/>
  <c r="P120" i="4"/>
  <c r="M118" i="4"/>
  <c r="P118" i="4" s="1"/>
  <c r="L32" i="4"/>
  <c r="J284" i="1"/>
  <c r="K397" i="2"/>
  <c r="K435" i="2"/>
  <c r="J455" i="1"/>
  <c r="K580" i="2"/>
  <c r="K624" i="2"/>
  <c r="K628" i="2"/>
  <c r="J651" i="2"/>
  <c r="K108" i="3"/>
  <c r="P224" i="3"/>
  <c r="J304" i="1"/>
  <c r="J341" i="1"/>
  <c r="N347" i="1"/>
  <c r="N358" i="1"/>
  <c r="K377" i="3"/>
  <c r="K401" i="3"/>
  <c r="O406" i="3"/>
  <c r="K449" i="3"/>
  <c r="K465" i="3"/>
  <c r="K474" i="3"/>
  <c r="K498" i="3"/>
  <c r="K547" i="3"/>
  <c r="L98" i="4"/>
  <c r="L96" i="4" s="1"/>
  <c r="L94" i="4" s="1"/>
  <c r="K110" i="4"/>
  <c r="K113" i="4"/>
  <c r="P144" i="4"/>
  <c r="K149" i="4"/>
  <c r="P254" i="4"/>
  <c r="M273" i="4"/>
  <c r="L333" i="4"/>
  <c r="O333" i="4" s="1"/>
  <c r="O352" i="4"/>
  <c r="K370" i="4"/>
  <c r="K402" i="4"/>
  <c r="K435" i="4"/>
  <c r="O437" i="4"/>
  <c r="K474" i="4"/>
  <c r="O537" i="4"/>
  <c r="O584" i="4"/>
  <c r="K629" i="4"/>
  <c r="K632" i="4"/>
  <c r="K635" i="4"/>
  <c r="L24" i="5"/>
  <c r="P122" i="5"/>
  <c r="L224" i="5"/>
  <c r="L222" i="5" s="1"/>
  <c r="J245" i="1"/>
  <c r="J281" i="1"/>
  <c r="L294" i="5"/>
  <c r="L292" i="5" s="1"/>
  <c r="K343" i="5"/>
  <c r="N32" i="5"/>
  <c r="N30" i="5" s="1"/>
  <c r="K402" i="5"/>
  <c r="K435" i="5"/>
  <c r="O437" i="5"/>
  <c r="K533" i="5"/>
  <c r="O537" i="5"/>
  <c r="O564" i="5"/>
  <c r="J671" i="5"/>
  <c r="L45" i="6"/>
  <c r="O45" i="6" s="1"/>
  <c r="L57" i="6"/>
  <c r="L55" i="6" s="1"/>
  <c r="L53" i="6" s="1"/>
  <c r="P70" i="6"/>
  <c r="K80" i="6"/>
  <c r="K85" i="6"/>
  <c r="J517" i="1"/>
  <c r="J520" i="1"/>
  <c r="J523" i="1"/>
  <c r="J526" i="1"/>
  <c r="J529" i="1"/>
  <c r="J532" i="1"/>
  <c r="N26" i="3"/>
  <c r="N16" i="3" s="1"/>
  <c r="M66" i="3"/>
  <c r="P66" i="3" s="1"/>
  <c r="L144" i="3"/>
  <c r="O144" i="3" s="1"/>
  <c r="J244" i="1"/>
  <c r="J269" i="1"/>
  <c r="N650" i="1"/>
  <c r="L26" i="5"/>
  <c r="L16" i="5" s="1"/>
  <c r="K219" i="2"/>
  <c r="K380" i="2"/>
  <c r="K425" i="2"/>
  <c r="J427" i="1"/>
  <c r="J446" i="1"/>
  <c r="K533" i="2"/>
  <c r="K551" i="2"/>
  <c r="N600" i="1"/>
  <c r="K619" i="2"/>
  <c r="K620" i="2"/>
  <c r="K83" i="3"/>
  <c r="K112" i="3"/>
  <c r="J209" i="1"/>
  <c r="L224" i="3"/>
  <c r="O224" i="3" s="1"/>
  <c r="J235" i="1"/>
  <c r="P254" i="3"/>
  <c r="K264" i="3"/>
  <c r="J266" i="1"/>
  <c r="K270" i="3"/>
  <c r="K285" i="3"/>
  <c r="K375" i="3"/>
  <c r="O380" i="3"/>
  <c r="O404" i="3"/>
  <c r="K450" i="3"/>
  <c r="K466" i="3"/>
  <c r="K481" i="3"/>
  <c r="K499" i="3"/>
  <c r="K589" i="3"/>
  <c r="K595" i="3"/>
  <c r="K620" i="3"/>
  <c r="K622" i="3"/>
  <c r="K624" i="3"/>
  <c r="K626" i="3"/>
  <c r="N644" i="3"/>
  <c r="N640" i="3" s="1"/>
  <c r="N638" i="3" s="1"/>
  <c r="N636" i="3" s="1"/>
  <c r="P45" i="4"/>
  <c r="K86" i="4"/>
  <c r="K108" i="4"/>
  <c r="K111" i="4"/>
  <c r="L144" i="4"/>
  <c r="L142" i="4" s="1"/>
  <c r="K164" i="4"/>
  <c r="K204" i="4"/>
  <c r="M250" i="4"/>
  <c r="P314" i="4"/>
  <c r="K340" i="4"/>
  <c r="K345" i="4"/>
  <c r="N33" i="4"/>
  <c r="N13" i="4" s="1"/>
  <c r="K368" i="4"/>
  <c r="K401" i="4"/>
  <c r="O435" i="4"/>
  <c r="K533" i="4"/>
  <c r="O535" i="4"/>
  <c r="K573" i="4"/>
  <c r="K580" i="4"/>
  <c r="O582" i="4"/>
  <c r="K626" i="4"/>
  <c r="K630" i="4"/>
  <c r="K633" i="4"/>
  <c r="O661" i="4"/>
  <c r="N26" i="5"/>
  <c r="N16" i="5" s="1"/>
  <c r="K149" i="5"/>
  <c r="M222" i="5"/>
  <c r="M220" i="5" s="1"/>
  <c r="L275" i="5"/>
  <c r="O275" i="5" s="1"/>
  <c r="M292" i="5"/>
  <c r="P292" i="5" s="1"/>
  <c r="K401" i="5"/>
  <c r="O435" i="5"/>
  <c r="O533" i="5"/>
  <c r="N671" i="1"/>
  <c r="J676" i="1"/>
  <c r="N349" i="1"/>
  <c r="J483" i="1"/>
  <c r="J487" i="1"/>
  <c r="J491" i="1"/>
  <c r="J493" i="1"/>
  <c r="J495" i="1"/>
  <c r="P43" i="6"/>
  <c r="N26" i="6"/>
  <c r="N16" i="6" s="1"/>
  <c r="J265" i="1"/>
  <c r="N458" i="1"/>
  <c r="J544" i="1"/>
  <c r="K616" i="2"/>
  <c r="K632" i="2"/>
  <c r="L23" i="3"/>
  <c r="O23" i="3" s="1"/>
  <c r="M120" i="3"/>
  <c r="P120" i="3" s="1"/>
  <c r="J171" i="1"/>
  <c r="J175" i="1"/>
  <c r="K200" i="3"/>
  <c r="M252" i="3"/>
  <c r="J324" i="1"/>
  <c r="K376" i="3"/>
  <c r="J549" i="1"/>
  <c r="N551" i="1"/>
  <c r="J590" i="1"/>
  <c r="K593" i="3"/>
  <c r="J596" i="1"/>
  <c r="M53" i="4"/>
  <c r="K229" i="4"/>
  <c r="K341" i="4"/>
  <c r="O406" i="4"/>
  <c r="K560" i="4"/>
  <c r="O566" i="4"/>
  <c r="K117" i="5"/>
  <c r="O347" i="5"/>
  <c r="O401" i="5"/>
  <c r="O406" i="5"/>
  <c r="K564" i="5"/>
  <c r="O568" i="5"/>
  <c r="K623" i="5"/>
  <c r="K419" i="2"/>
  <c r="J421" i="1"/>
  <c r="J434" i="1"/>
  <c r="L24" i="3"/>
  <c r="O102" i="3"/>
  <c r="N273" i="3"/>
  <c r="N271" i="3" s="1"/>
  <c r="K350" i="3"/>
  <c r="K397" i="3"/>
  <c r="N405" i="1"/>
  <c r="N410" i="1"/>
  <c r="K419" i="3"/>
  <c r="K422" i="3"/>
  <c r="K425" i="3"/>
  <c r="K428" i="3"/>
  <c r="K431" i="3"/>
  <c r="K455" i="3"/>
  <c r="O459" i="3"/>
  <c r="K564" i="3"/>
  <c r="O566" i="3"/>
  <c r="O601" i="3"/>
  <c r="K621" i="3"/>
  <c r="K623" i="3"/>
  <c r="L640" i="3"/>
  <c r="O640" i="3" s="1"/>
  <c r="L24" i="4"/>
  <c r="O24" i="4" s="1"/>
  <c r="O349" i="4"/>
  <c r="O354" i="4"/>
  <c r="K375" i="4"/>
  <c r="O404" i="4"/>
  <c r="K450" i="4"/>
  <c r="K466" i="4"/>
  <c r="K497" i="4"/>
  <c r="K547" i="4"/>
  <c r="O564" i="4"/>
  <c r="K663" i="4"/>
  <c r="K132" i="5"/>
  <c r="N222" i="5"/>
  <c r="N220" i="5" s="1"/>
  <c r="M312" i="5"/>
  <c r="K340" i="5"/>
  <c r="K345" i="5"/>
  <c r="O404" i="5"/>
  <c r="K450" i="5"/>
  <c r="K466" i="5"/>
  <c r="K481" i="5"/>
  <c r="K498" i="5"/>
  <c r="K547" i="5"/>
  <c r="O566" i="5"/>
  <c r="P45" i="6"/>
  <c r="N22" i="6"/>
  <c r="K92" i="6"/>
  <c r="K108" i="6"/>
  <c r="K117" i="6"/>
  <c r="K149" i="6"/>
  <c r="K264" i="6"/>
  <c r="M292" i="6"/>
  <c r="P292" i="6" s="1"/>
  <c r="O352" i="6"/>
  <c r="K401" i="6"/>
  <c r="K418" i="6"/>
  <c r="K430" i="6"/>
  <c r="K474" i="6"/>
  <c r="K481" i="6"/>
  <c r="O599" i="6"/>
  <c r="K619" i="6"/>
  <c r="M68" i="7"/>
  <c r="M140" i="7"/>
  <c r="K173" i="7"/>
  <c r="K189" i="7"/>
  <c r="M292" i="7"/>
  <c r="P292" i="7" s="1"/>
  <c r="L333" i="7"/>
  <c r="L331" i="7" s="1"/>
  <c r="O347" i="7"/>
  <c r="K381" i="7"/>
  <c r="O599" i="7"/>
  <c r="K620" i="7"/>
  <c r="K622" i="7"/>
  <c r="K624" i="7"/>
  <c r="K626" i="7"/>
  <c r="K635" i="7"/>
  <c r="K93" i="8"/>
  <c r="O102" i="8"/>
  <c r="K110" i="8"/>
  <c r="K158" i="8"/>
  <c r="K213" i="8"/>
  <c r="N252" i="8"/>
  <c r="N250" i="8" s="1"/>
  <c r="M273" i="8"/>
  <c r="M271" i="8" s="1"/>
  <c r="K419" i="8"/>
  <c r="K425" i="8"/>
  <c r="K431" i="8"/>
  <c r="K465" i="8"/>
  <c r="O568" i="8"/>
  <c r="K622" i="8"/>
  <c r="L98" i="9"/>
  <c r="O98" i="9" s="1"/>
  <c r="P144" i="9"/>
  <c r="K200" i="9"/>
  <c r="M273" i="9"/>
  <c r="P273" i="9" s="1"/>
  <c r="K617" i="6"/>
  <c r="K648" i="6"/>
  <c r="P45" i="7"/>
  <c r="O74" i="7"/>
  <c r="K112" i="7"/>
  <c r="K430" i="7"/>
  <c r="K618" i="7"/>
  <c r="K65" i="8"/>
  <c r="K84" i="6"/>
  <c r="N120" i="6"/>
  <c r="P120" i="6" s="1"/>
  <c r="K132" i="6"/>
  <c r="K200" i="6"/>
  <c r="L254" i="6"/>
  <c r="O254" i="6" s="1"/>
  <c r="M312" i="6"/>
  <c r="K341" i="6"/>
  <c r="O347" i="6"/>
  <c r="K372" i="6"/>
  <c r="K377" i="6"/>
  <c r="K398" i="6"/>
  <c r="O406" i="6"/>
  <c r="K426" i="6"/>
  <c r="O459" i="6"/>
  <c r="K615" i="6"/>
  <c r="O661" i="6"/>
  <c r="K200" i="7"/>
  <c r="K204" i="7"/>
  <c r="O337" i="7"/>
  <c r="K343" i="7"/>
  <c r="K380" i="7"/>
  <c r="K396" i="7"/>
  <c r="O401" i="7"/>
  <c r="K422" i="7"/>
  <c r="L70" i="8"/>
  <c r="L68" i="8" s="1"/>
  <c r="L66" i="8" s="1"/>
  <c r="K81" i="8"/>
  <c r="P224" i="8"/>
  <c r="M252" i="8"/>
  <c r="M250" i="8" s="1"/>
  <c r="K266" i="8"/>
  <c r="O347" i="8"/>
  <c r="N31" i="8"/>
  <c r="N29" i="8" s="1"/>
  <c r="K396" i="8"/>
  <c r="K417" i="8"/>
  <c r="K423" i="8"/>
  <c r="K429" i="8"/>
  <c r="O439" i="8"/>
  <c r="K450" i="8"/>
  <c r="O455" i="8"/>
  <c r="K473" i="8"/>
  <c r="K497" i="8"/>
  <c r="O535" i="8"/>
  <c r="O564" i="8"/>
  <c r="O584" i="8"/>
  <c r="K631" i="8"/>
  <c r="L26" i="9"/>
  <c r="L16" i="9" s="1"/>
  <c r="P122" i="9"/>
  <c r="M252" i="9"/>
  <c r="M310" i="9"/>
  <c r="P310" i="9" s="1"/>
  <c r="P333" i="9"/>
  <c r="P122" i="6"/>
  <c r="M222" i="6"/>
  <c r="K229" i="6"/>
  <c r="K235" i="6"/>
  <c r="L314" i="6"/>
  <c r="L312" i="6" s="1"/>
  <c r="O312" i="6" s="1"/>
  <c r="J378" i="1"/>
  <c r="K396" i="6"/>
  <c r="O439" i="6"/>
  <c r="N540" i="1"/>
  <c r="K613" i="6"/>
  <c r="K625" i="6"/>
  <c r="L45" i="7"/>
  <c r="L43" i="7" s="1"/>
  <c r="N96" i="7"/>
  <c r="N94" i="7" s="1"/>
  <c r="K158" i="7"/>
  <c r="N33" i="7"/>
  <c r="N13" i="7" s="1"/>
  <c r="K449" i="7"/>
  <c r="K621" i="7"/>
  <c r="K623" i="7"/>
  <c r="L24" i="8"/>
  <c r="O24" i="8" s="1"/>
  <c r="L122" i="8"/>
  <c r="O122" i="8" s="1"/>
  <c r="K133" i="8"/>
  <c r="K199" i="8"/>
  <c r="K264" i="8"/>
  <c r="K345" i="6"/>
  <c r="K375" i="6"/>
  <c r="K611" i="6"/>
  <c r="K623" i="6"/>
  <c r="O648" i="6"/>
  <c r="K138" i="7"/>
  <c r="L144" i="7"/>
  <c r="K149" i="7"/>
  <c r="K270" i="7"/>
  <c r="K372" i="7"/>
  <c r="K377" i="7"/>
  <c r="N31" i="7"/>
  <c r="N29" i="7" s="1"/>
  <c r="J651" i="7"/>
  <c r="M96" i="8"/>
  <c r="M292" i="8"/>
  <c r="P292" i="8" s="1"/>
  <c r="L294" i="8"/>
  <c r="O294" i="8" s="1"/>
  <c r="N331" i="8"/>
  <c r="N329" i="8" s="1"/>
  <c r="K343" i="8"/>
  <c r="O380" i="8"/>
  <c r="N34" i="8"/>
  <c r="K421" i="8"/>
  <c r="K427" i="8"/>
  <c r="O435" i="8"/>
  <c r="O459" i="8"/>
  <c r="K481" i="8"/>
  <c r="O580" i="8"/>
  <c r="K611" i="8"/>
  <c r="K613" i="8"/>
  <c r="K615" i="8"/>
  <c r="K617" i="8"/>
  <c r="K626" i="8"/>
  <c r="M120" i="9"/>
  <c r="K133" i="6"/>
  <c r="K340" i="6"/>
  <c r="K473" i="6"/>
  <c r="O537" i="6"/>
  <c r="O601" i="6"/>
  <c r="K621" i="6"/>
  <c r="K649" i="6"/>
  <c r="O455" i="7"/>
  <c r="K465" i="7"/>
  <c r="O566" i="7"/>
  <c r="K612" i="7"/>
  <c r="N644" i="7"/>
  <c r="N640" i="7" s="1"/>
  <c r="N638" i="7" s="1"/>
  <c r="N636" i="7" s="1"/>
  <c r="K64" i="8"/>
  <c r="K112" i="8"/>
  <c r="O337" i="8"/>
  <c r="K418" i="8"/>
  <c r="K455" i="8"/>
  <c r="K624" i="8"/>
  <c r="N43" i="9"/>
  <c r="N41" i="9" s="1"/>
  <c r="M68" i="9"/>
  <c r="M96" i="9"/>
  <c r="O228" i="9"/>
  <c r="L254" i="9"/>
  <c r="M292" i="9"/>
  <c r="P292" i="9" s="1"/>
  <c r="K343" i="9"/>
  <c r="K481" i="9"/>
  <c r="K591" i="9"/>
  <c r="M96" i="10"/>
  <c r="M120" i="10"/>
  <c r="P120" i="10" s="1"/>
  <c r="M292" i="10"/>
  <c r="O537" i="10"/>
  <c r="K624" i="10"/>
  <c r="P45" i="11"/>
  <c r="L70" i="11"/>
  <c r="O70" i="11" s="1"/>
  <c r="K81" i="11"/>
  <c r="L98" i="11"/>
  <c r="O98" i="11" s="1"/>
  <c r="P144" i="11"/>
  <c r="K176" i="11"/>
  <c r="K185" i="11"/>
  <c r="K266" i="11"/>
  <c r="K270" i="11"/>
  <c r="I367" i="11"/>
  <c r="K367" i="11" s="1"/>
  <c r="K422" i="11"/>
  <c r="O437" i="11"/>
  <c r="O455" i="11"/>
  <c r="K481" i="11"/>
  <c r="O533" i="11"/>
  <c r="O580" i="11"/>
  <c r="O597" i="11"/>
  <c r="M96" i="12"/>
  <c r="M94" i="12" s="1"/>
  <c r="K266" i="12"/>
  <c r="K270" i="12"/>
  <c r="K341" i="9"/>
  <c r="O437" i="9"/>
  <c r="K473" i="9"/>
  <c r="O337" i="10"/>
  <c r="K398" i="10"/>
  <c r="K420" i="10"/>
  <c r="O580" i="10"/>
  <c r="O337" i="11"/>
  <c r="K420" i="9"/>
  <c r="K432" i="9"/>
  <c r="K465" i="9"/>
  <c r="O537" i="9"/>
  <c r="K580" i="9"/>
  <c r="K618" i="9"/>
  <c r="K628" i="9"/>
  <c r="J651" i="9"/>
  <c r="K651" i="9" s="1"/>
  <c r="M271" i="10"/>
  <c r="K430" i="10"/>
  <c r="O435" i="10"/>
  <c r="O535" i="10"/>
  <c r="O551" i="10"/>
  <c r="N34" i="10"/>
  <c r="N14" i="10" s="1"/>
  <c r="K622" i="10"/>
  <c r="K629" i="10"/>
  <c r="K117" i="11"/>
  <c r="L122" i="11"/>
  <c r="L144" i="11"/>
  <c r="L142" i="11" s="1"/>
  <c r="K173" i="11"/>
  <c r="K189" i="11"/>
  <c r="P224" i="11"/>
  <c r="M337" i="11"/>
  <c r="P337" i="11" s="1"/>
  <c r="O347" i="11"/>
  <c r="K398" i="11"/>
  <c r="N33" i="11"/>
  <c r="N13" i="11" s="1"/>
  <c r="K418" i="11"/>
  <c r="K430" i="11"/>
  <c r="O435" i="11"/>
  <c r="K465" i="11"/>
  <c r="O537" i="11"/>
  <c r="O584" i="11"/>
  <c r="K624" i="11"/>
  <c r="O665" i="11"/>
  <c r="M49" i="12"/>
  <c r="P49" i="12" s="1"/>
  <c r="L98" i="12"/>
  <c r="L96" i="12" s="1"/>
  <c r="L94" i="12" s="1"/>
  <c r="K109" i="12"/>
  <c r="K219" i="12"/>
  <c r="P224" i="12"/>
  <c r="P275" i="12"/>
  <c r="K368" i="12"/>
  <c r="O401" i="12"/>
  <c r="O349" i="9"/>
  <c r="N34" i="9"/>
  <c r="N14" i="9" s="1"/>
  <c r="M53" i="10"/>
  <c r="O258" i="10"/>
  <c r="K345" i="10"/>
  <c r="N32" i="10"/>
  <c r="N30" i="10" s="1"/>
  <c r="O347" i="9"/>
  <c r="K368" i="9"/>
  <c r="O401" i="9"/>
  <c r="K416" i="9"/>
  <c r="K428" i="9"/>
  <c r="O459" i="9"/>
  <c r="K499" i="9"/>
  <c r="O535" i="9"/>
  <c r="K595" i="9"/>
  <c r="K65" i="10"/>
  <c r="K87" i="10"/>
  <c r="K270" i="10"/>
  <c r="O318" i="10"/>
  <c r="N331" i="10"/>
  <c r="N329" i="10" s="1"/>
  <c r="K343" i="10"/>
  <c r="K397" i="10"/>
  <c r="K426" i="10"/>
  <c r="O439" i="10"/>
  <c r="O457" i="10"/>
  <c r="O533" i="10"/>
  <c r="O564" i="10"/>
  <c r="K620" i="10"/>
  <c r="K626" i="10"/>
  <c r="O49" i="11"/>
  <c r="K85" i="11"/>
  <c r="M96" i="11"/>
  <c r="K200" i="11"/>
  <c r="M271" i="11"/>
  <c r="N331" i="11"/>
  <c r="N329" i="11" s="1"/>
  <c r="K343" i="11"/>
  <c r="K377" i="11"/>
  <c r="K396" i="11"/>
  <c r="O439" i="11"/>
  <c r="K499" i="11"/>
  <c r="O535" i="11"/>
  <c r="O582" i="11"/>
  <c r="K632" i="11"/>
  <c r="K93" i="12"/>
  <c r="P122" i="12"/>
  <c r="K149" i="12"/>
  <c r="M271" i="12"/>
  <c r="P271" i="12" s="1"/>
  <c r="K372" i="12"/>
  <c r="K375" i="12"/>
  <c r="O380" i="9"/>
  <c r="K426" i="9"/>
  <c r="O457" i="9"/>
  <c r="K435" i="10"/>
  <c r="O455" i="10"/>
  <c r="O601" i="10"/>
  <c r="M68" i="11"/>
  <c r="P68" i="11" s="1"/>
  <c r="N142" i="11"/>
  <c r="N140" i="11" s="1"/>
  <c r="K375" i="11"/>
  <c r="K173" i="12"/>
  <c r="O318" i="12"/>
  <c r="K420" i="12"/>
  <c r="K432" i="12"/>
  <c r="K465" i="12"/>
  <c r="K624" i="12"/>
  <c r="J651" i="12"/>
  <c r="P144" i="13"/>
  <c r="M220" i="13"/>
  <c r="K465" i="13"/>
  <c r="K618" i="13"/>
  <c r="K624" i="13"/>
  <c r="K628" i="13"/>
  <c r="J671" i="13"/>
  <c r="M120" i="14"/>
  <c r="P120" i="14" s="1"/>
  <c r="L122" i="14"/>
  <c r="O122" i="14" s="1"/>
  <c r="J289" i="1"/>
  <c r="O349" i="14"/>
  <c r="K380" i="14"/>
  <c r="K450" i="14"/>
  <c r="K473" i="14"/>
  <c r="K497" i="14"/>
  <c r="K551" i="14"/>
  <c r="O564" i="14"/>
  <c r="K593" i="14"/>
  <c r="K615" i="14"/>
  <c r="L70" i="15"/>
  <c r="K81" i="15"/>
  <c r="L122" i="15"/>
  <c r="O122" i="15" s="1"/>
  <c r="K622" i="12"/>
  <c r="K631" i="12"/>
  <c r="K634" i="12"/>
  <c r="M96" i="13"/>
  <c r="P96" i="13" s="1"/>
  <c r="M310" i="13"/>
  <c r="P310" i="13" s="1"/>
  <c r="M140" i="16"/>
  <c r="K416" i="12"/>
  <c r="K428" i="12"/>
  <c r="K499" i="12"/>
  <c r="K401" i="13"/>
  <c r="K620" i="13"/>
  <c r="K108" i="14"/>
  <c r="K200" i="14"/>
  <c r="L254" i="14"/>
  <c r="O254" i="14" s="1"/>
  <c r="P275" i="14"/>
  <c r="K345" i="14"/>
  <c r="K377" i="14"/>
  <c r="O401" i="14"/>
  <c r="K416" i="14"/>
  <c r="K422" i="14"/>
  <c r="K428" i="14"/>
  <c r="O459" i="14"/>
  <c r="K481" i="14"/>
  <c r="N32" i="14"/>
  <c r="N30" i="14" s="1"/>
  <c r="K611" i="14"/>
  <c r="K616" i="14"/>
  <c r="N55" i="15"/>
  <c r="N53" i="15" s="1"/>
  <c r="K497" i="12"/>
  <c r="O599" i="12"/>
  <c r="K629" i="12"/>
  <c r="O665" i="12"/>
  <c r="M120" i="13"/>
  <c r="M118" i="13" s="1"/>
  <c r="K200" i="13"/>
  <c r="K341" i="13"/>
  <c r="O347" i="13"/>
  <c r="K372" i="13"/>
  <c r="K377" i="13"/>
  <c r="K466" i="13"/>
  <c r="P57" i="15"/>
  <c r="M96" i="15"/>
  <c r="K424" i="12"/>
  <c r="K435" i="12"/>
  <c r="K450" i="12"/>
  <c r="O455" i="12"/>
  <c r="K481" i="12"/>
  <c r="O533" i="12"/>
  <c r="O564" i="12"/>
  <c r="O597" i="12"/>
  <c r="K370" i="13"/>
  <c r="N31" i="13"/>
  <c r="N29" i="13" s="1"/>
  <c r="K398" i="13"/>
  <c r="O435" i="13"/>
  <c r="O459" i="13"/>
  <c r="O533" i="13"/>
  <c r="K92" i="14"/>
  <c r="M252" i="14"/>
  <c r="P252" i="14" s="1"/>
  <c r="O337" i="14"/>
  <c r="K420" i="14"/>
  <c r="K426" i="14"/>
  <c r="K432" i="14"/>
  <c r="O457" i="14"/>
  <c r="K612" i="14"/>
  <c r="K619" i="14"/>
  <c r="K635" i="14"/>
  <c r="N644" i="14"/>
  <c r="N640" i="14" s="1"/>
  <c r="N638" i="14" s="1"/>
  <c r="N636" i="14" s="1"/>
  <c r="N26" i="15"/>
  <c r="N16" i="15" s="1"/>
  <c r="K422" i="12"/>
  <c r="K626" i="12"/>
  <c r="P45" i="13"/>
  <c r="L70" i="13"/>
  <c r="K499" i="13"/>
  <c r="K626" i="13"/>
  <c r="K630" i="13"/>
  <c r="K199" i="14"/>
  <c r="N252" i="14"/>
  <c r="N250" i="14" s="1"/>
  <c r="K270" i="14"/>
  <c r="M273" i="14"/>
  <c r="M271" i="14" s="1"/>
  <c r="K499" i="14"/>
  <c r="O555" i="14"/>
  <c r="O566" i="14"/>
  <c r="O599" i="14"/>
  <c r="K631" i="14"/>
  <c r="M53" i="15"/>
  <c r="M68" i="15"/>
  <c r="M66" i="15" s="1"/>
  <c r="K83" i="15"/>
  <c r="K88" i="15"/>
  <c r="K200" i="15"/>
  <c r="K204" i="15"/>
  <c r="P337" i="15"/>
  <c r="K455" i="15"/>
  <c r="N31" i="15"/>
  <c r="K617" i="15"/>
  <c r="P57" i="16"/>
  <c r="K199" i="16"/>
  <c r="K613" i="16"/>
  <c r="K618" i="16"/>
  <c r="K112" i="17"/>
  <c r="L224" i="17"/>
  <c r="L222" i="17" s="1"/>
  <c r="N142" i="18"/>
  <c r="N140" i="18" s="1"/>
  <c r="L275" i="18"/>
  <c r="L273" i="18" s="1"/>
  <c r="K149" i="15"/>
  <c r="K285" i="15"/>
  <c r="M292" i="15"/>
  <c r="P292" i="15" s="1"/>
  <c r="L294" i="15"/>
  <c r="L292" i="15" s="1"/>
  <c r="O457" i="15"/>
  <c r="K615" i="15"/>
  <c r="K625" i="15"/>
  <c r="O404" i="16"/>
  <c r="K611" i="16"/>
  <c r="K616" i="16"/>
  <c r="J671" i="16"/>
  <c r="K617" i="17"/>
  <c r="K619" i="17"/>
  <c r="K611" i="17"/>
  <c r="K613" i="17"/>
  <c r="K133" i="15"/>
  <c r="L144" i="15"/>
  <c r="L142" i="15" s="1"/>
  <c r="K416" i="15"/>
  <c r="K422" i="15"/>
  <c r="K428" i="15"/>
  <c r="K618" i="15"/>
  <c r="K623" i="15"/>
  <c r="M292" i="16"/>
  <c r="K402" i="16"/>
  <c r="K425" i="16"/>
  <c r="K466" i="16"/>
  <c r="O537" i="16"/>
  <c r="K593" i="16"/>
  <c r="K614" i="16"/>
  <c r="N55" i="17"/>
  <c r="M68" i="17"/>
  <c r="P68" i="17" s="1"/>
  <c r="K117" i="17"/>
  <c r="K149" i="17"/>
  <c r="K264" i="17"/>
  <c r="O49" i="18"/>
  <c r="L26" i="18"/>
  <c r="L16" i="18" s="1"/>
  <c r="K270" i="18"/>
  <c r="J372" i="1"/>
  <c r="K396" i="15"/>
  <c r="N33" i="15"/>
  <c r="N13" i="15" s="1"/>
  <c r="K473" i="15"/>
  <c r="K497" i="15"/>
  <c r="O535" i="15"/>
  <c r="K616" i="15"/>
  <c r="N32" i="16"/>
  <c r="N30" i="16" s="1"/>
  <c r="N31" i="16"/>
  <c r="N29" i="16" s="1"/>
  <c r="N33" i="16"/>
  <c r="N13" i="16" s="1"/>
  <c r="K619" i="16"/>
  <c r="K219" i="17"/>
  <c r="M252" i="17"/>
  <c r="P275" i="17"/>
  <c r="M273" i="17"/>
  <c r="P273" i="17" s="1"/>
  <c r="M331" i="17"/>
  <c r="N460" i="1"/>
  <c r="M331" i="15"/>
  <c r="M329" i="15" s="1"/>
  <c r="K345" i="15"/>
  <c r="K420" i="15"/>
  <c r="K426" i="15"/>
  <c r="K432" i="15"/>
  <c r="O437" i="15"/>
  <c r="K619" i="15"/>
  <c r="K158" i="16"/>
  <c r="M222" i="16"/>
  <c r="K229" i="16"/>
  <c r="N331" i="16"/>
  <c r="N329" i="16" s="1"/>
  <c r="K380" i="16"/>
  <c r="K564" i="16"/>
  <c r="K617" i="16"/>
  <c r="O102" i="17"/>
  <c r="J575" i="1"/>
  <c r="O380" i="15"/>
  <c r="K421" i="15"/>
  <c r="K427" i="15"/>
  <c r="O435" i="15"/>
  <c r="K612" i="15"/>
  <c r="M252" i="16"/>
  <c r="K370" i="16"/>
  <c r="K396" i="16"/>
  <c r="K419" i="16"/>
  <c r="K431" i="16"/>
  <c r="K498" i="16"/>
  <c r="N644" i="16"/>
  <c r="N640" i="16" s="1"/>
  <c r="N638" i="16" s="1"/>
  <c r="N636" i="16" s="1"/>
  <c r="N43" i="17"/>
  <c r="N41" i="17" s="1"/>
  <c r="P57" i="17"/>
  <c r="K109" i="17"/>
  <c r="K185" i="17"/>
  <c r="K189" i="17"/>
  <c r="M222" i="17"/>
  <c r="K235" i="17"/>
  <c r="K349" i="17"/>
  <c r="K615" i="17"/>
  <c r="P70" i="18"/>
  <c r="M68" i="18"/>
  <c r="J413" i="1"/>
  <c r="N533" i="1"/>
  <c r="L275" i="17"/>
  <c r="O275" i="17" s="1"/>
  <c r="L314" i="17"/>
  <c r="L312" i="17" s="1"/>
  <c r="K377" i="17"/>
  <c r="O385" i="17"/>
  <c r="K420" i="17"/>
  <c r="K426" i="17"/>
  <c r="K432" i="17"/>
  <c r="O457" i="17"/>
  <c r="K465" i="17"/>
  <c r="J543" i="1"/>
  <c r="O553" i="17"/>
  <c r="O597" i="17"/>
  <c r="K618" i="17"/>
  <c r="K625" i="17"/>
  <c r="K631" i="17"/>
  <c r="K665" i="17"/>
  <c r="L98" i="18"/>
  <c r="O98" i="18" s="1"/>
  <c r="K113" i="18"/>
  <c r="P144" i="18"/>
  <c r="K158" i="18"/>
  <c r="L224" i="18"/>
  <c r="O224" i="18" s="1"/>
  <c r="K285" i="18"/>
  <c r="P314" i="18"/>
  <c r="K324" i="18"/>
  <c r="L333" i="18"/>
  <c r="L331" i="18" s="1"/>
  <c r="I367" i="18"/>
  <c r="K367" i="18" s="1"/>
  <c r="K370" i="18"/>
  <c r="K381" i="18"/>
  <c r="K398" i="18"/>
  <c r="K427" i="18"/>
  <c r="N32" i="18"/>
  <c r="N30" i="18" s="1"/>
  <c r="K473" i="18"/>
  <c r="O537" i="18"/>
  <c r="O584" i="18"/>
  <c r="K589" i="18"/>
  <c r="O650" i="18"/>
  <c r="K616" i="17"/>
  <c r="K623" i="17"/>
  <c r="O347" i="17"/>
  <c r="K370" i="17"/>
  <c r="K381" i="17"/>
  <c r="K418" i="17"/>
  <c r="K424" i="17"/>
  <c r="K430" i="17"/>
  <c r="O455" i="17"/>
  <c r="O551" i="17"/>
  <c r="O601" i="17"/>
  <c r="K614" i="17"/>
  <c r="K626" i="17"/>
  <c r="J651" i="17"/>
  <c r="N644" i="17"/>
  <c r="N640" i="17" s="1"/>
  <c r="N638" i="17" s="1"/>
  <c r="N636" i="17" s="1"/>
  <c r="M120" i="18"/>
  <c r="O347" i="18"/>
  <c r="O401" i="18"/>
  <c r="N644" i="18"/>
  <c r="N640" i="18" s="1"/>
  <c r="N638" i="18" s="1"/>
  <c r="N636" i="18" s="1"/>
  <c r="O533" i="17"/>
  <c r="O568" i="17"/>
  <c r="K597" i="17"/>
  <c r="K612" i="17"/>
  <c r="K624" i="17"/>
  <c r="O665" i="17"/>
  <c r="L57" i="18"/>
  <c r="O57" i="18" s="1"/>
  <c r="L70" i="18"/>
  <c r="O70" i="18" s="1"/>
  <c r="K93" i="18"/>
  <c r="N96" i="18"/>
  <c r="N94" i="18" s="1"/>
  <c r="M142" i="18"/>
  <c r="P224" i="18"/>
  <c r="P294" i="18"/>
  <c r="K328" i="18"/>
  <c r="N331" i="18"/>
  <c r="N329" i="18" s="1"/>
  <c r="K345" i="18"/>
  <c r="K421" i="18"/>
  <c r="O439" i="18"/>
  <c r="K499" i="18"/>
  <c r="O568" i="18"/>
  <c r="K595" i="18"/>
  <c r="K628" i="18"/>
  <c r="K631" i="18"/>
  <c r="K634" i="18"/>
  <c r="K650" i="18"/>
  <c r="O661" i="18"/>
  <c r="L640" i="18"/>
  <c r="L638" i="18" s="1"/>
  <c r="O668" i="18"/>
  <c r="K343" i="17"/>
  <c r="K380" i="17"/>
  <c r="K398" i="17"/>
  <c r="O401" i="17"/>
  <c r="K416" i="17"/>
  <c r="K422" i="17"/>
  <c r="K428" i="17"/>
  <c r="K481" i="17"/>
  <c r="O566" i="17"/>
  <c r="K622" i="17"/>
  <c r="O650" i="17"/>
  <c r="P98" i="18"/>
  <c r="K109" i="18"/>
  <c r="K235" i="18"/>
  <c r="K289" i="18"/>
  <c r="P333" i="18"/>
  <c r="O385" i="18"/>
  <c r="K397" i="18"/>
  <c r="K419" i="18"/>
  <c r="K431" i="18"/>
  <c r="O580" i="18"/>
  <c r="K593" i="18"/>
  <c r="N19" i="1"/>
  <c r="M11" i="1"/>
  <c r="P21" i="1"/>
  <c r="M19" i="1"/>
  <c r="I219" i="1"/>
  <c r="N33" i="2"/>
  <c r="N13" i="2" s="1"/>
  <c r="P54" i="2"/>
  <c r="M53" i="2"/>
  <c r="O67" i="2"/>
  <c r="P95" i="2"/>
  <c r="L224" i="2"/>
  <c r="L23" i="2"/>
  <c r="L272" i="1"/>
  <c r="O272" i="1" s="1"/>
  <c r="O272" i="2"/>
  <c r="L351" i="1"/>
  <c r="O351" i="2"/>
  <c r="I375" i="1"/>
  <c r="K375" i="2"/>
  <c r="N456" i="1"/>
  <c r="N31" i="2"/>
  <c r="N29" i="2" s="1"/>
  <c r="I473" i="1"/>
  <c r="K473" i="2"/>
  <c r="I485" i="1"/>
  <c r="K485" i="1" s="1"/>
  <c r="K485" i="2"/>
  <c r="I497" i="1"/>
  <c r="K497" i="2"/>
  <c r="I509" i="1"/>
  <c r="K509" i="1" s="1"/>
  <c r="K509" i="2"/>
  <c r="L564" i="1"/>
  <c r="O564" i="2"/>
  <c r="L648" i="1"/>
  <c r="L640" i="2"/>
  <c r="O648" i="2"/>
  <c r="I117" i="1"/>
  <c r="K117" i="3"/>
  <c r="P275" i="3"/>
  <c r="M273" i="3"/>
  <c r="P144" i="5"/>
  <c r="M142" i="5"/>
  <c r="P142" i="5" s="1"/>
  <c r="O54" i="6"/>
  <c r="N312" i="14"/>
  <c r="N310" i="14" s="1"/>
  <c r="N314" i="1"/>
  <c r="K591" i="17"/>
  <c r="I591" i="1"/>
  <c r="P254" i="18"/>
  <c r="M22" i="18"/>
  <c r="M252" i="18"/>
  <c r="M254" i="1"/>
  <c r="O383" i="18"/>
  <c r="L32" i="18"/>
  <c r="L383" i="1"/>
  <c r="K417" i="18"/>
  <c r="I417" i="1"/>
  <c r="K429" i="18"/>
  <c r="I429" i="1"/>
  <c r="O552" i="18"/>
  <c r="L552" i="1"/>
  <c r="O552" i="1" s="1"/>
  <c r="P25" i="2"/>
  <c r="M15" i="2"/>
  <c r="P15" i="2" s="1"/>
  <c r="M70" i="1"/>
  <c r="P70" i="2"/>
  <c r="P275" i="2"/>
  <c r="M275" i="1"/>
  <c r="L295" i="1"/>
  <c r="L294" i="2"/>
  <c r="L314" i="2"/>
  <c r="I339" i="1"/>
  <c r="K339" i="1" s="1"/>
  <c r="K339" i="2"/>
  <c r="L349" i="1"/>
  <c r="O349" i="2"/>
  <c r="O383" i="2"/>
  <c r="N34" i="2"/>
  <c r="N14" i="2" s="1"/>
  <c r="N385" i="1"/>
  <c r="K417" i="2"/>
  <c r="K429" i="2"/>
  <c r="I471" i="1"/>
  <c r="K471" i="1" s="1"/>
  <c r="K471" i="2"/>
  <c r="I483" i="1"/>
  <c r="K483" i="1" s="1"/>
  <c r="K483" i="2"/>
  <c r="I495" i="1"/>
  <c r="K495" i="1" s="1"/>
  <c r="K495" i="2"/>
  <c r="I507" i="1"/>
  <c r="K507" i="1" s="1"/>
  <c r="K507" i="2"/>
  <c r="I561" i="1"/>
  <c r="K561" i="2"/>
  <c r="K561" i="1" s="1"/>
  <c r="K591" i="2"/>
  <c r="L661" i="1"/>
  <c r="O661" i="2"/>
  <c r="K235" i="3"/>
  <c r="K451" i="3"/>
  <c r="I451" i="1"/>
  <c r="K464" i="3"/>
  <c r="I464" i="1"/>
  <c r="K470" i="3"/>
  <c r="I470" i="1"/>
  <c r="K470" i="1" s="1"/>
  <c r="K476" i="3"/>
  <c r="I476" i="1"/>
  <c r="K476" i="1" s="1"/>
  <c r="K482" i="3"/>
  <c r="I482" i="1"/>
  <c r="K488" i="3"/>
  <c r="I488" i="1"/>
  <c r="K488" i="1" s="1"/>
  <c r="K494" i="3"/>
  <c r="I494" i="1"/>
  <c r="K494" i="1" s="1"/>
  <c r="K500" i="3"/>
  <c r="I500" i="1"/>
  <c r="K500" i="1" s="1"/>
  <c r="K506" i="3"/>
  <c r="I506" i="1"/>
  <c r="K506" i="1" s="1"/>
  <c r="K512" i="3"/>
  <c r="I512" i="1"/>
  <c r="K512" i="1" s="1"/>
  <c r="N31" i="5"/>
  <c r="N29" i="5" s="1"/>
  <c r="N351" i="1"/>
  <c r="K373" i="5"/>
  <c r="I373" i="1"/>
  <c r="K373" i="1" s="1"/>
  <c r="K497" i="5"/>
  <c r="J497" i="1"/>
  <c r="N383" i="1"/>
  <c r="N32" i="2"/>
  <c r="N30" i="2" s="1"/>
  <c r="I452" i="1"/>
  <c r="K452" i="1" s="1"/>
  <c r="K452" i="2"/>
  <c r="I469" i="1"/>
  <c r="K469" i="1" s="1"/>
  <c r="K469" i="2"/>
  <c r="I481" i="1"/>
  <c r="K481" i="2"/>
  <c r="I493" i="1"/>
  <c r="K493" i="1" s="1"/>
  <c r="K493" i="2"/>
  <c r="I505" i="1"/>
  <c r="K505" i="1" s="1"/>
  <c r="K505" i="2"/>
  <c r="L651" i="1"/>
  <c r="O651" i="2"/>
  <c r="P21" i="3"/>
  <c r="M11" i="3"/>
  <c r="M19" i="3"/>
  <c r="P251" i="3"/>
  <c r="K416" i="3"/>
  <c r="J416" i="1"/>
  <c r="P11" i="4"/>
  <c r="K665" i="4"/>
  <c r="I665" i="1"/>
  <c r="P24" i="6"/>
  <c r="M14" i="6"/>
  <c r="P14" i="6" s="1"/>
  <c r="L21" i="1"/>
  <c r="L254" i="2"/>
  <c r="K289" i="2"/>
  <c r="I289" i="1"/>
  <c r="I345" i="1"/>
  <c r="K345" i="2"/>
  <c r="L405" i="1"/>
  <c r="O405" i="1" s="1"/>
  <c r="O405" i="2"/>
  <c r="I450" i="1"/>
  <c r="K450" i="2"/>
  <c r="I467" i="1"/>
  <c r="K467" i="1" s="1"/>
  <c r="K467" i="2"/>
  <c r="I479" i="1"/>
  <c r="K479" i="1" s="1"/>
  <c r="K479" i="2"/>
  <c r="I491" i="1"/>
  <c r="K491" i="1" s="1"/>
  <c r="K491" i="2"/>
  <c r="I503" i="1"/>
  <c r="K503" i="1" s="1"/>
  <c r="K503" i="2"/>
  <c r="I515" i="1"/>
  <c r="K515" i="1" s="1"/>
  <c r="K515" i="2"/>
  <c r="N294" i="1"/>
  <c r="N292" i="3"/>
  <c r="N290" i="3" s="1"/>
  <c r="N353" i="1"/>
  <c r="N33" i="3"/>
  <c r="N13" i="3" s="1"/>
  <c r="K113" i="5"/>
  <c r="I113" i="1"/>
  <c r="P31" i="7"/>
  <c r="M29" i="7"/>
  <c r="M11" i="7"/>
  <c r="L98" i="7"/>
  <c r="L23" i="7"/>
  <c r="K285" i="7"/>
  <c r="I285" i="1"/>
  <c r="O25" i="1"/>
  <c r="L15" i="1"/>
  <c r="O15" i="1" s="1"/>
  <c r="N22" i="2"/>
  <c r="N98" i="1"/>
  <c r="P31" i="1"/>
  <c r="M13" i="1"/>
  <c r="P13" i="1" s="1"/>
  <c r="I306" i="1"/>
  <c r="M19" i="2"/>
  <c r="P32" i="2"/>
  <c r="M30" i="2"/>
  <c r="P30" i="2" s="1"/>
  <c r="M68" i="2"/>
  <c r="N96" i="2"/>
  <c r="M273" i="2"/>
  <c r="M271" i="2" s="1"/>
  <c r="I343" i="1"/>
  <c r="K343" i="2"/>
  <c r="L403" i="1"/>
  <c r="O403" i="1" s="1"/>
  <c r="O403" i="2"/>
  <c r="I465" i="1"/>
  <c r="K465" i="2"/>
  <c r="I477" i="1"/>
  <c r="K477" i="1" s="1"/>
  <c r="K477" i="2"/>
  <c r="I489" i="1"/>
  <c r="K489" i="1" s="1"/>
  <c r="K489" i="2"/>
  <c r="I501" i="1"/>
  <c r="K501" i="1" s="1"/>
  <c r="K501" i="2"/>
  <c r="I513" i="1"/>
  <c r="K513" i="1" s="1"/>
  <c r="K513" i="2"/>
  <c r="L568" i="1"/>
  <c r="L34" i="2"/>
  <c r="O568" i="2"/>
  <c r="L650" i="1"/>
  <c r="O650" i="2"/>
  <c r="N22" i="3"/>
  <c r="L26" i="3"/>
  <c r="O42" i="3"/>
  <c r="P45" i="3"/>
  <c r="O95" i="3"/>
  <c r="P141" i="3"/>
  <c r="M141" i="1"/>
  <c r="P141" i="1" s="1"/>
  <c r="K149" i="3"/>
  <c r="J264" i="1"/>
  <c r="M333" i="1"/>
  <c r="P333" i="3"/>
  <c r="M331" i="3"/>
  <c r="M329" i="3" s="1"/>
  <c r="K377" i="4"/>
  <c r="J377" i="1"/>
  <c r="J465" i="1"/>
  <c r="K499" i="4"/>
  <c r="J499" i="1"/>
  <c r="N34" i="4"/>
  <c r="N14" i="4" s="1"/>
  <c r="O568" i="4"/>
  <c r="N568" i="1"/>
  <c r="L347" i="1"/>
  <c r="O347" i="2"/>
  <c r="P25" i="1"/>
  <c r="M15" i="1"/>
  <c r="P15" i="1" s="1"/>
  <c r="P32" i="1"/>
  <c r="M30" i="1"/>
  <c r="P30" i="1" s="1"/>
  <c r="L26" i="2"/>
  <c r="O74" i="2"/>
  <c r="K229" i="2"/>
  <c r="O279" i="2"/>
  <c r="L279" i="1"/>
  <c r="O279" i="1" s="1"/>
  <c r="K309" i="2"/>
  <c r="I341" i="1"/>
  <c r="K341" i="2"/>
  <c r="L33" i="2"/>
  <c r="O33" i="2" s="1"/>
  <c r="L353" i="1"/>
  <c r="O353" i="2"/>
  <c r="I377" i="1"/>
  <c r="K377" i="2"/>
  <c r="L401" i="1"/>
  <c r="O401" i="2"/>
  <c r="K421" i="2"/>
  <c r="I475" i="1"/>
  <c r="K475" i="1" s="1"/>
  <c r="K475" i="2"/>
  <c r="I487" i="1"/>
  <c r="K487" i="1" s="1"/>
  <c r="K487" i="2"/>
  <c r="I499" i="1"/>
  <c r="K499" i="2"/>
  <c r="I511" i="1"/>
  <c r="K511" i="1" s="1"/>
  <c r="K511" i="2"/>
  <c r="L32" i="2"/>
  <c r="L566" i="1"/>
  <c r="O566" i="2"/>
  <c r="K595" i="2"/>
  <c r="L649" i="1"/>
  <c r="O649" i="2"/>
  <c r="L668" i="1"/>
  <c r="O668" i="2"/>
  <c r="N43" i="3"/>
  <c r="N41" i="3" s="1"/>
  <c r="M22" i="3"/>
  <c r="M57" i="1"/>
  <c r="P57" i="3"/>
  <c r="M55" i="3"/>
  <c r="P98" i="3"/>
  <c r="O95" i="4"/>
  <c r="P333" i="4"/>
  <c r="K342" i="6"/>
  <c r="I342" i="1"/>
  <c r="K342" i="1" s="1"/>
  <c r="K349" i="6"/>
  <c r="I349" i="1"/>
  <c r="O380" i="6"/>
  <c r="N380" i="1"/>
  <c r="O404" i="6"/>
  <c r="L32" i="6"/>
  <c r="L404" i="1"/>
  <c r="K424" i="6"/>
  <c r="J424" i="1"/>
  <c r="O457" i="6"/>
  <c r="N32" i="6"/>
  <c r="N30" i="6" s="1"/>
  <c r="N457" i="1"/>
  <c r="K480" i="6"/>
  <c r="I480" i="1"/>
  <c r="K480" i="1" s="1"/>
  <c r="K490" i="6"/>
  <c r="I490" i="1"/>
  <c r="K490" i="1" s="1"/>
  <c r="K510" i="6"/>
  <c r="I510" i="1"/>
  <c r="K510" i="1" s="1"/>
  <c r="K547" i="6"/>
  <c r="I547" i="1"/>
  <c r="L33" i="6"/>
  <c r="O33" i="6" s="1"/>
  <c r="O567" i="6"/>
  <c r="L567" i="1"/>
  <c r="O567" i="1" s="1"/>
  <c r="M11" i="2"/>
  <c r="N19" i="2"/>
  <c r="O42" i="2"/>
  <c r="P57" i="2"/>
  <c r="O119" i="2"/>
  <c r="P141" i="2"/>
  <c r="P330" i="2"/>
  <c r="L19" i="3"/>
  <c r="M142" i="4"/>
  <c r="M140" i="4" s="1"/>
  <c r="L31" i="4"/>
  <c r="O436" i="4"/>
  <c r="O25" i="5"/>
  <c r="L15" i="5"/>
  <c r="O15" i="5" s="1"/>
  <c r="P291" i="5"/>
  <c r="O436" i="5"/>
  <c r="L31" i="5"/>
  <c r="L11" i="5" s="1"/>
  <c r="P272" i="7"/>
  <c r="M271" i="7"/>
  <c r="O536" i="7"/>
  <c r="L33" i="7"/>
  <c r="O33" i="7" s="1"/>
  <c r="N34" i="7"/>
  <c r="N14" i="7" s="1"/>
  <c r="O584" i="7"/>
  <c r="M22" i="8"/>
  <c r="P45" i="8"/>
  <c r="P34" i="9"/>
  <c r="M14" i="9"/>
  <c r="P14" i="9" s="1"/>
  <c r="L15" i="2"/>
  <c r="O15" i="2" s="1"/>
  <c r="M16" i="2"/>
  <c r="P16" i="2" s="1"/>
  <c r="M41" i="3"/>
  <c r="K113" i="3"/>
  <c r="K164" i="3"/>
  <c r="O599" i="3"/>
  <c r="P57" i="4"/>
  <c r="P224" i="4"/>
  <c r="P42" i="5"/>
  <c r="M41" i="5"/>
  <c r="O54" i="5"/>
  <c r="N22" i="5"/>
  <c r="N55" i="5"/>
  <c r="N53" i="5" s="1"/>
  <c r="O102" i="5"/>
  <c r="M102" i="5"/>
  <c r="M96" i="5" s="1"/>
  <c r="O337" i="5"/>
  <c r="M337" i="5"/>
  <c r="P337" i="5" s="1"/>
  <c r="P41" i="6"/>
  <c r="M22" i="2"/>
  <c r="K611" i="2"/>
  <c r="K613" i="2"/>
  <c r="K615" i="2"/>
  <c r="K617" i="2"/>
  <c r="K621" i="2"/>
  <c r="K623" i="2"/>
  <c r="K111" i="3"/>
  <c r="M222" i="3"/>
  <c r="K343" i="3"/>
  <c r="O349" i="3"/>
  <c r="O401" i="3"/>
  <c r="O597" i="3"/>
  <c r="P24" i="4"/>
  <c r="M14" i="4"/>
  <c r="P14" i="4" s="1"/>
  <c r="O54" i="4"/>
  <c r="N22" i="4"/>
  <c r="N55" i="4"/>
  <c r="N53" i="4" s="1"/>
  <c r="K81" i="4"/>
  <c r="O141" i="4"/>
  <c r="P221" i="4"/>
  <c r="M220" i="4"/>
  <c r="K266" i="4"/>
  <c r="I367" i="4"/>
  <c r="K367" i="4" s="1"/>
  <c r="N644" i="4"/>
  <c r="N640" i="4" s="1"/>
  <c r="N638" i="4" s="1"/>
  <c r="N636" i="4" s="1"/>
  <c r="O95" i="5"/>
  <c r="O330" i="5"/>
  <c r="P95" i="3"/>
  <c r="K109" i="3"/>
  <c r="O119" i="3"/>
  <c r="K65" i="4"/>
  <c r="O337" i="4"/>
  <c r="M337" i="4"/>
  <c r="P337" i="4" s="1"/>
  <c r="M22" i="5"/>
  <c r="P98" i="5"/>
  <c r="N96" i="6"/>
  <c r="O102" i="6"/>
  <c r="O19" i="8"/>
  <c r="K341" i="3"/>
  <c r="O347" i="3"/>
  <c r="P31" i="4"/>
  <c r="M29" i="4"/>
  <c r="K87" i="4"/>
  <c r="O102" i="4"/>
  <c r="L26" i="4"/>
  <c r="M102" i="4"/>
  <c r="K264" i="4"/>
  <c r="P291" i="4"/>
  <c r="O330" i="4"/>
  <c r="L33" i="4"/>
  <c r="O33" i="4" s="1"/>
  <c r="O438" i="4"/>
  <c r="K465" i="4"/>
  <c r="K618" i="4"/>
  <c r="K616" i="4"/>
  <c r="K614" i="4"/>
  <c r="K612" i="4"/>
  <c r="K619" i="4"/>
  <c r="K617" i="4"/>
  <c r="K615" i="4"/>
  <c r="K613" i="4"/>
  <c r="K611" i="4"/>
  <c r="O19" i="5"/>
  <c r="N19" i="5"/>
  <c r="O141" i="5"/>
  <c r="P221" i="5"/>
  <c r="L33" i="5"/>
  <c r="O33" i="5" s="1"/>
  <c r="O438" i="5"/>
  <c r="N19" i="6"/>
  <c r="P252" i="7"/>
  <c r="M250" i="7"/>
  <c r="P250" i="7" s="1"/>
  <c r="P291" i="9"/>
  <c r="L15" i="4"/>
  <c r="O15" i="4" s="1"/>
  <c r="O19" i="4"/>
  <c r="M30" i="4"/>
  <c r="P30" i="4" s="1"/>
  <c r="P42" i="4"/>
  <c r="O251" i="4"/>
  <c r="P272" i="4"/>
  <c r="O311" i="4"/>
  <c r="O648" i="4"/>
  <c r="P29" i="5"/>
  <c r="P45" i="5"/>
  <c r="O251" i="5"/>
  <c r="P272" i="5"/>
  <c r="O311" i="5"/>
  <c r="K619" i="5"/>
  <c r="N644" i="5"/>
  <c r="N640" i="5" s="1"/>
  <c r="N638" i="5" s="1"/>
  <c r="N636" i="5" s="1"/>
  <c r="L19" i="6"/>
  <c r="O21" i="6"/>
  <c r="L23" i="6"/>
  <c r="L24" i="7"/>
  <c r="M312" i="7"/>
  <c r="M15" i="4"/>
  <c r="P15" i="4" s="1"/>
  <c r="M22" i="4"/>
  <c r="L34" i="4"/>
  <c r="K621" i="4"/>
  <c r="K623" i="4"/>
  <c r="K625" i="4"/>
  <c r="M11" i="5"/>
  <c r="L23" i="5"/>
  <c r="O535" i="5"/>
  <c r="O582" i="5"/>
  <c r="K626" i="5"/>
  <c r="K624" i="5"/>
  <c r="K622" i="5"/>
  <c r="K620" i="5"/>
  <c r="M15" i="6"/>
  <c r="P15" i="6" s="1"/>
  <c r="M19" i="6"/>
  <c r="P31" i="6"/>
  <c r="M29" i="6"/>
  <c r="O354" i="6"/>
  <c r="L34" i="6"/>
  <c r="N26" i="7"/>
  <c r="N16" i="7" s="1"/>
  <c r="M53" i="7"/>
  <c r="K417" i="7"/>
  <c r="L640" i="7"/>
  <c r="O648" i="7"/>
  <c r="O21" i="8"/>
  <c r="P57" i="9"/>
  <c r="M55" i="9"/>
  <c r="M22" i="9"/>
  <c r="K618" i="5"/>
  <c r="K616" i="5"/>
  <c r="K614" i="5"/>
  <c r="K612" i="5"/>
  <c r="K615" i="5"/>
  <c r="P119" i="6"/>
  <c r="M118" i="6"/>
  <c r="M331" i="6"/>
  <c r="P337" i="6"/>
  <c r="O251" i="7"/>
  <c r="O311" i="7"/>
  <c r="O385" i="7"/>
  <c r="L34" i="7"/>
  <c r="P25" i="8"/>
  <c r="M15" i="8"/>
  <c r="P15" i="8" s="1"/>
  <c r="M19" i="8"/>
  <c r="P42" i="8"/>
  <c r="O383" i="8"/>
  <c r="L32" i="8"/>
  <c r="K371" i="9"/>
  <c r="I367" i="9"/>
  <c r="K367" i="9" s="1"/>
  <c r="P45" i="10"/>
  <c r="M22" i="10"/>
  <c r="M43" i="10"/>
  <c r="M41" i="10" s="1"/>
  <c r="O54" i="10"/>
  <c r="P330" i="11"/>
  <c r="N43" i="4"/>
  <c r="K613" i="5"/>
  <c r="L640" i="5"/>
  <c r="N331" i="6"/>
  <c r="N329" i="6" s="1"/>
  <c r="O337" i="6"/>
  <c r="P24" i="7"/>
  <c r="M14" i="7"/>
  <c r="P14" i="7" s="1"/>
  <c r="O54" i="7"/>
  <c r="P254" i="7"/>
  <c r="M22" i="7"/>
  <c r="L32" i="7"/>
  <c r="O383" i="7"/>
  <c r="O49" i="8"/>
  <c r="L26" i="8"/>
  <c r="M49" i="8"/>
  <c r="O337" i="9"/>
  <c r="M337" i="9"/>
  <c r="P19" i="10"/>
  <c r="P33" i="10"/>
  <c r="M13" i="10"/>
  <c r="P13" i="10" s="1"/>
  <c r="N26" i="4"/>
  <c r="N16" i="4" s="1"/>
  <c r="K620" i="4"/>
  <c r="K622" i="4"/>
  <c r="K624" i="4"/>
  <c r="K611" i="5"/>
  <c r="L24" i="6"/>
  <c r="N55" i="6"/>
  <c r="N53" i="6" s="1"/>
  <c r="P57" i="6"/>
  <c r="K64" i="6"/>
  <c r="M96" i="6"/>
  <c r="P102" i="6"/>
  <c r="N22" i="7"/>
  <c r="P57" i="7"/>
  <c r="N55" i="7"/>
  <c r="N273" i="7"/>
  <c r="K368" i="7"/>
  <c r="L98" i="8"/>
  <c r="L15" i="7"/>
  <c r="O15" i="7" s="1"/>
  <c r="O19" i="7"/>
  <c r="P42" i="7"/>
  <c r="P119" i="7"/>
  <c r="K420" i="7"/>
  <c r="K432" i="7"/>
  <c r="K619" i="7"/>
  <c r="K617" i="7"/>
  <c r="K615" i="7"/>
  <c r="K613" i="7"/>
  <c r="K611" i="7"/>
  <c r="K630" i="7"/>
  <c r="P21" i="8"/>
  <c r="M11" i="8"/>
  <c r="M28" i="8"/>
  <c r="P28" i="8" s="1"/>
  <c r="P57" i="8"/>
  <c r="K201" i="8"/>
  <c r="M222" i="8"/>
  <c r="M220" i="8" s="1"/>
  <c r="O291" i="8"/>
  <c r="O318" i="8"/>
  <c r="P337" i="8"/>
  <c r="K381" i="8"/>
  <c r="N32" i="8"/>
  <c r="N30" i="8" s="1"/>
  <c r="K591" i="8"/>
  <c r="O21" i="9"/>
  <c r="L19" i="9"/>
  <c r="L23" i="9"/>
  <c r="O330" i="9"/>
  <c r="O119" i="12"/>
  <c r="P141" i="12"/>
  <c r="M140" i="12"/>
  <c r="N19" i="8"/>
  <c r="L23" i="8"/>
  <c r="O221" i="8"/>
  <c r="O258" i="8"/>
  <c r="P21" i="9"/>
  <c r="M11" i="9"/>
  <c r="M19" i="9"/>
  <c r="O42" i="9"/>
  <c r="O148" i="9"/>
  <c r="L24" i="10"/>
  <c r="L57" i="10"/>
  <c r="L24" i="11"/>
  <c r="P33" i="13"/>
  <c r="M13" i="13"/>
  <c r="P13" i="13" s="1"/>
  <c r="N22" i="13"/>
  <c r="N55" i="13"/>
  <c r="N53" i="13" s="1"/>
  <c r="K612" i="6"/>
  <c r="K614" i="6"/>
  <c r="K616" i="6"/>
  <c r="K620" i="6"/>
  <c r="K622" i="6"/>
  <c r="K624" i="6"/>
  <c r="N644" i="6"/>
  <c r="N640" i="6" s="1"/>
  <c r="N638" i="6" s="1"/>
  <c r="N636" i="6" s="1"/>
  <c r="L26" i="7"/>
  <c r="M49" i="7"/>
  <c r="M102" i="7"/>
  <c r="M337" i="7"/>
  <c r="K416" i="7"/>
  <c r="K428" i="7"/>
  <c r="K616" i="7"/>
  <c r="P311" i="8"/>
  <c r="K380" i="8"/>
  <c r="M41" i="9"/>
  <c r="P45" i="9"/>
  <c r="O141" i="9"/>
  <c r="P221" i="9"/>
  <c r="M220" i="9"/>
  <c r="P224" i="9"/>
  <c r="L31" i="9"/>
  <c r="N222" i="10"/>
  <c r="N220" i="10" s="1"/>
  <c r="P333" i="10"/>
  <c r="M331" i="10"/>
  <c r="O459" i="10"/>
  <c r="L34" i="10"/>
  <c r="O536" i="10"/>
  <c r="L33" i="10"/>
  <c r="O33" i="10" s="1"/>
  <c r="L26" i="11"/>
  <c r="O61" i="11"/>
  <c r="O119" i="11"/>
  <c r="O382" i="11"/>
  <c r="L31" i="11"/>
  <c r="O553" i="11"/>
  <c r="L32" i="11"/>
  <c r="P251" i="8"/>
  <c r="N31" i="9"/>
  <c r="N33" i="9"/>
  <c r="N13" i="9" s="1"/>
  <c r="O49" i="10"/>
  <c r="L26" i="10"/>
  <c r="O352" i="13"/>
  <c r="L32" i="13"/>
  <c r="L33" i="13"/>
  <c r="O33" i="13" s="1"/>
  <c r="O458" i="13"/>
  <c r="K424" i="7"/>
  <c r="O457" i="7"/>
  <c r="K580" i="7"/>
  <c r="K634" i="7"/>
  <c r="M14" i="8"/>
  <c r="P14" i="8" s="1"/>
  <c r="O25" i="8"/>
  <c r="L15" i="8"/>
  <c r="O15" i="8" s="1"/>
  <c r="P32" i="8"/>
  <c r="K216" i="8"/>
  <c r="K328" i="8"/>
  <c r="O385" i="8"/>
  <c r="K595" i="8"/>
  <c r="L640" i="8"/>
  <c r="O648" i="8"/>
  <c r="N22" i="9"/>
  <c r="P21" i="10"/>
  <c r="M11" i="10"/>
  <c r="O330" i="10"/>
  <c r="P33" i="11"/>
  <c r="M13" i="11"/>
  <c r="P13" i="11" s="1"/>
  <c r="P29" i="12"/>
  <c r="M28" i="12"/>
  <c r="P28" i="12" s="1"/>
  <c r="N331" i="13"/>
  <c r="O337" i="13"/>
  <c r="K625" i="9"/>
  <c r="K623" i="9"/>
  <c r="K621" i="9"/>
  <c r="K624" i="9"/>
  <c r="N19" i="10"/>
  <c r="O67" i="10"/>
  <c r="O74" i="10"/>
  <c r="M74" i="10"/>
  <c r="P330" i="10"/>
  <c r="O333" i="11"/>
  <c r="N31" i="11"/>
  <c r="N29" i="11" s="1"/>
  <c r="O74" i="12"/>
  <c r="L26" i="12"/>
  <c r="M74" i="12"/>
  <c r="K618" i="12"/>
  <c r="K616" i="12"/>
  <c r="K614" i="12"/>
  <c r="K612" i="12"/>
  <c r="K619" i="12"/>
  <c r="K617" i="12"/>
  <c r="K615" i="12"/>
  <c r="K613" i="12"/>
  <c r="K611" i="12"/>
  <c r="P54" i="13"/>
  <c r="M53" i="13"/>
  <c r="L24" i="13"/>
  <c r="L275" i="13"/>
  <c r="P34" i="14"/>
  <c r="M14" i="14"/>
  <c r="P14" i="14" s="1"/>
  <c r="N34" i="17"/>
  <c r="N14" i="17" s="1"/>
  <c r="O537" i="17"/>
  <c r="M19" i="18"/>
  <c r="M11" i="18"/>
  <c r="P21" i="18"/>
  <c r="O458" i="18"/>
  <c r="L33" i="18"/>
  <c r="O33" i="18" s="1"/>
  <c r="M13" i="9"/>
  <c r="P13" i="9" s="1"/>
  <c r="L32" i="9"/>
  <c r="L70" i="9"/>
  <c r="M140" i="9"/>
  <c r="K622" i="9"/>
  <c r="L32" i="10"/>
  <c r="O119" i="10"/>
  <c r="O148" i="10"/>
  <c r="N31" i="10"/>
  <c r="N29" i="10" s="1"/>
  <c r="I367" i="10"/>
  <c r="K367" i="10" s="1"/>
  <c r="O566" i="10"/>
  <c r="O568" i="10"/>
  <c r="L640" i="10"/>
  <c r="O25" i="11"/>
  <c r="L15" i="11"/>
  <c r="O15" i="11" s="1"/>
  <c r="P57" i="11"/>
  <c r="M22" i="11"/>
  <c r="M55" i="11"/>
  <c r="P141" i="11"/>
  <c r="N22" i="11"/>
  <c r="M220" i="11"/>
  <c r="N222" i="11"/>
  <c r="L34" i="11"/>
  <c r="O459" i="11"/>
  <c r="N644" i="11"/>
  <c r="N640" i="11" s="1"/>
  <c r="N638" i="11" s="1"/>
  <c r="N636" i="11" s="1"/>
  <c r="N43" i="12"/>
  <c r="N41" i="12" s="1"/>
  <c r="N22" i="12"/>
  <c r="N26" i="12"/>
  <c r="N16" i="12" s="1"/>
  <c r="K371" i="12"/>
  <c r="I367" i="12"/>
  <c r="K367" i="12" s="1"/>
  <c r="P67" i="15"/>
  <c r="K573" i="9"/>
  <c r="K619" i="9"/>
  <c r="K617" i="9"/>
  <c r="K615" i="9"/>
  <c r="K613" i="9"/>
  <c r="K611" i="9"/>
  <c r="K620" i="9"/>
  <c r="N43" i="10"/>
  <c r="N41" i="10" s="1"/>
  <c r="P54" i="10"/>
  <c r="K618" i="10"/>
  <c r="K616" i="10"/>
  <c r="K614" i="10"/>
  <c r="K612" i="10"/>
  <c r="K619" i="10"/>
  <c r="K617" i="10"/>
  <c r="K615" i="10"/>
  <c r="K613" i="10"/>
  <c r="K611" i="10"/>
  <c r="K625" i="10"/>
  <c r="K630" i="10"/>
  <c r="N644" i="10"/>
  <c r="N640" i="10" s="1"/>
  <c r="N638" i="10" s="1"/>
  <c r="N636" i="10" s="1"/>
  <c r="L19" i="11"/>
  <c r="N19" i="11"/>
  <c r="P25" i="11"/>
  <c r="M15" i="11"/>
  <c r="P15" i="11" s="1"/>
  <c r="M28" i="11"/>
  <c r="P28" i="11" s="1"/>
  <c r="K164" i="11"/>
  <c r="K435" i="11"/>
  <c r="K573" i="11"/>
  <c r="K630" i="11"/>
  <c r="O648" i="11"/>
  <c r="L45" i="12"/>
  <c r="L23" i="12"/>
  <c r="N34" i="12"/>
  <c r="N14" i="12" s="1"/>
  <c r="O568" i="12"/>
  <c r="N26" i="13"/>
  <c r="N16" i="13" s="1"/>
  <c r="P42" i="13"/>
  <c r="M41" i="13"/>
  <c r="P70" i="13"/>
  <c r="M22" i="13"/>
  <c r="M68" i="13"/>
  <c r="K621" i="8"/>
  <c r="K623" i="8"/>
  <c r="K634" i="9"/>
  <c r="O25" i="10"/>
  <c r="L15" i="10"/>
  <c r="O15" i="10" s="1"/>
  <c r="P141" i="10"/>
  <c r="M140" i="10"/>
  <c r="P144" i="10"/>
  <c r="K533" i="10"/>
  <c r="K580" i="10"/>
  <c r="P19" i="11"/>
  <c r="L23" i="11"/>
  <c r="M142" i="11"/>
  <c r="P57" i="12"/>
  <c r="N55" i="12"/>
  <c r="P67" i="12"/>
  <c r="M118" i="12"/>
  <c r="O337" i="12"/>
  <c r="M337" i="12"/>
  <c r="O457" i="12"/>
  <c r="L32" i="12"/>
  <c r="N32" i="12"/>
  <c r="N30" i="12" s="1"/>
  <c r="O566" i="12"/>
  <c r="O272" i="13"/>
  <c r="K632" i="9"/>
  <c r="K665" i="9"/>
  <c r="L23" i="10"/>
  <c r="K628" i="10"/>
  <c r="P32" i="11"/>
  <c r="M30" i="11"/>
  <c r="P30" i="11" s="1"/>
  <c r="P333" i="11"/>
  <c r="L33" i="11"/>
  <c r="O33" i="11" s="1"/>
  <c r="O384" i="11"/>
  <c r="K618" i="11"/>
  <c r="K616" i="11"/>
  <c r="K614" i="11"/>
  <c r="K612" i="11"/>
  <c r="K619" i="11"/>
  <c r="K617" i="11"/>
  <c r="K615" i="11"/>
  <c r="K613" i="11"/>
  <c r="K611" i="11"/>
  <c r="K628" i="11"/>
  <c r="K634" i="11"/>
  <c r="M14" i="12"/>
  <c r="P14" i="12" s="1"/>
  <c r="P34" i="12"/>
  <c r="K397" i="12"/>
  <c r="K564" i="13"/>
  <c r="K619" i="13"/>
  <c r="K617" i="13"/>
  <c r="K615" i="13"/>
  <c r="K613" i="13"/>
  <c r="K611" i="13"/>
  <c r="K612" i="13"/>
  <c r="K614" i="13"/>
  <c r="K616" i="13"/>
  <c r="K621" i="10"/>
  <c r="K623" i="10"/>
  <c r="M11" i="11"/>
  <c r="N32" i="11"/>
  <c r="N30" i="11" s="1"/>
  <c r="K621" i="11"/>
  <c r="K623" i="11"/>
  <c r="M11" i="12"/>
  <c r="M22" i="12"/>
  <c r="L33" i="12"/>
  <c r="O33" i="12" s="1"/>
  <c r="L24" i="12"/>
  <c r="M53" i="12"/>
  <c r="O25" i="13"/>
  <c r="L15" i="13"/>
  <c r="O15" i="13" s="1"/>
  <c r="L23" i="13"/>
  <c r="M29" i="14"/>
  <c r="O221" i="14"/>
  <c r="O21" i="12"/>
  <c r="L19" i="12"/>
  <c r="K113" i="12"/>
  <c r="P333" i="12"/>
  <c r="L640" i="12"/>
  <c r="K665" i="12"/>
  <c r="N19" i="13"/>
  <c r="P25" i="13"/>
  <c r="M15" i="13"/>
  <c r="P15" i="13" s="1"/>
  <c r="O67" i="13"/>
  <c r="K349" i="13"/>
  <c r="O406" i="13"/>
  <c r="P311" i="14"/>
  <c r="O385" i="14"/>
  <c r="K589" i="14"/>
  <c r="M19" i="15"/>
  <c r="M11" i="15"/>
  <c r="P21" i="15"/>
  <c r="P144" i="15"/>
  <c r="O555" i="15"/>
  <c r="L34" i="15"/>
  <c r="P330" i="12"/>
  <c r="O382" i="12"/>
  <c r="L31" i="12"/>
  <c r="N644" i="12"/>
  <c r="N640" i="12" s="1"/>
  <c r="N638" i="12" s="1"/>
  <c r="N636" i="12" s="1"/>
  <c r="P19" i="13"/>
  <c r="P95" i="13"/>
  <c r="N43" i="14"/>
  <c r="N41" i="14" s="1"/>
  <c r="N22" i="14"/>
  <c r="M55" i="14"/>
  <c r="P57" i="14"/>
  <c r="M331" i="14"/>
  <c r="P337" i="14"/>
  <c r="O383" i="14"/>
  <c r="L32" i="14"/>
  <c r="N22" i="15"/>
  <c r="N142" i="15"/>
  <c r="N140" i="15" s="1"/>
  <c r="P224" i="15"/>
  <c r="M222" i="15"/>
  <c r="P45" i="12"/>
  <c r="P98" i="12"/>
  <c r="K111" i="12"/>
  <c r="P144" i="12"/>
  <c r="N33" i="12"/>
  <c r="N13" i="12" s="1"/>
  <c r="M16" i="13"/>
  <c r="P32" i="13"/>
  <c r="M30" i="13"/>
  <c r="P30" i="13" s="1"/>
  <c r="P57" i="13"/>
  <c r="M273" i="13"/>
  <c r="M331" i="13"/>
  <c r="P337" i="13"/>
  <c r="K340" i="13"/>
  <c r="L34" i="13"/>
  <c r="O354" i="13"/>
  <c r="K376" i="13"/>
  <c r="K402" i="13"/>
  <c r="K449" i="13"/>
  <c r="L45" i="14"/>
  <c r="L23" i="14"/>
  <c r="O258" i="14"/>
  <c r="L26" i="14"/>
  <c r="P294" i="14"/>
  <c r="M292" i="14"/>
  <c r="M290" i="14" s="1"/>
  <c r="P290" i="14" s="1"/>
  <c r="O351" i="15"/>
  <c r="L31" i="15"/>
  <c r="L11" i="15" s="1"/>
  <c r="K621" i="12"/>
  <c r="K623" i="12"/>
  <c r="M11" i="13"/>
  <c r="L640" i="13"/>
  <c r="M22" i="14"/>
  <c r="L33" i="14"/>
  <c r="O33" i="14" s="1"/>
  <c r="L24" i="14"/>
  <c r="M96" i="14"/>
  <c r="M26" i="14"/>
  <c r="P119" i="14"/>
  <c r="M220" i="14"/>
  <c r="M312" i="14"/>
  <c r="P312" i="14" s="1"/>
  <c r="N32" i="15"/>
  <c r="N30" i="15" s="1"/>
  <c r="O141" i="15"/>
  <c r="K450" i="13"/>
  <c r="K473" i="13"/>
  <c r="K497" i="13"/>
  <c r="O564" i="13"/>
  <c r="K621" i="13"/>
  <c r="K623" i="13"/>
  <c r="M11" i="14"/>
  <c r="O21" i="14"/>
  <c r="L19" i="14"/>
  <c r="M41" i="14"/>
  <c r="O102" i="14"/>
  <c r="N96" i="14"/>
  <c r="N94" i="14" s="1"/>
  <c r="P251" i="14"/>
  <c r="N273" i="14"/>
  <c r="O351" i="14"/>
  <c r="L31" i="14"/>
  <c r="K421" i="14"/>
  <c r="K427" i="14"/>
  <c r="K595" i="14"/>
  <c r="L640" i="14"/>
  <c r="O648" i="14"/>
  <c r="L23" i="15"/>
  <c r="L26" i="15"/>
  <c r="P45" i="15"/>
  <c r="M43" i="15"/>
  <c r="M22" i="15"/>
  <c r="P141" i="15"/>
  <c r="N26" i="14"/>
  <c r="N16" i="14" s="1"/>
  <c r="O291" i="14"/>
  <c r="N33" i="14"/>
  <c r="N13" i="14" s="1"/>
  <c r="P23" i="15"/>
  <c r="M13" i="15"/>
  <c r="P13" i="15" s="1"/>
  <c r="O291" i="15"/>
  <c r="O54" i="16"/>
  <c r="P70" i="16"/>
  <c r="M68" i="16"/>
  <c r="L640" i="16"/>
  <c r="O665" i="16"/>
  <c r="K481" i="13"/>
  <c r="P23" i="14"/>
  <c r="M13" i="14"/>
  <c r="P13" i="14" s="1"/>
  <c r="P45" i="14"/>
  <c r="K158" i="14"/>
  <c r="K419" i="14"/>
  <c r="K425" i="14"/>
  <c r="K431" i="14"/>
  <c r="K591" i="14"/>
  <c r="P251" i="15"/>
  <c r="O405" i="15"/>
  <c r="L33" i="15"/>
  <c r="O33" i="15" s="1"/>
  <c r="N15" i="15"/>
  <c r="N43" i="15"/>
  <c r="N41" i="15" s="1"/>
  <c r="M252" i="15"/>
  <c r="M250" i="15" s="1"/>
  <c r="P250" i="15" s="1"/>
  <c r="P31" i="16"/>
  <c r="M11" i="16"/>
  <c r="P122" i="17"/>
  <c r="M120" i="17"/>
  <c r="O272" i="17"/>
  <c r="N19" i="18"/>
  <c r="N331" i="14"/>
  <c r="N329" i="14" s="1"/>
  <c r="M120" i="15"/>
  <c r="M118" i="15" s="1"/>
  <c r="P311" i="15"/>
  <c r="O385" i="15"/>
  <c r="M49" i="16"/>
  <c r="M43" i="16" s="1"/>
  <c r="L26" i="16"/>
  <c r="O49" i="16"/>
  <c r="P67" i="16"/>
  <c r="O383" i="16"/>
  <c r="L32" i="16"/>
  <c r="M53" i="17"/>
  <c r="L24" i="15"/>
  <c r="O221" i="15"/>
  <c r="O383" i="15"/>
  <c r="L32" i="15"/>
  <c r="N34" i="15"/>
  <c r="N14" i="15" s="1"/>
  <c r="P23" i="16"/>
  <c r="M13" i="16"/>
  <c r="P13" i="16" s="1"/>
  <c r="O21" i="15"/>
  <c r="L19" i="15"/>
  <c r="M148" i="15"/>
  <c r="K199" i="15"/>
  <c r="K381" i="15"/>
  <c r="K668" i="15"/>
  <c r="M28" i="16"/>
  <c r="P28" i="16" s="1"/>
  <c r="P29" i="16"/>
  <c r="M22" i="16"/>
  <c r="P45" i="16"/>
  <c r="K625" i="16"/>
  <c r="K623" i="16"/>
  <c r="K621" i="16"/>
  <c r="K626" i="16"/>
  <c r="K624" i="16"/>
  <c r="K622" i="16"/>
  <c r="K620" i="16"/>
  <c r="P9" i="17"/>
  <c r="K635" i="15"/>
  <c r="O665" i="15"/>
  <c r="K81" i="16"/>
  <c r="O95" i="16"/>
  <c r="O126" i="16"/>
  <c r="M329" i="16"/>
  <c r="O458" i="16"/>
  <c r="L33" i="16"/>
  <c r="O33" i="16" s="1"/>
  <c r="L24" i="17"/>
  <c r="L23" i="17"/>
  <c r="L254" i="17"/>
  <c r="O405" i="17"/>
  <c r="L33" i="17"/>
  <c r="O33" i="17" s="1"/>
  <c r="N33" i="17"/>
  <c r="N13" i="17" s="1"/>
  <c r="N32" i="17"/>
  <c r="O535" i="17"/>
  <c r="N331" i="15"/>
  <c r="K626" i="15"/>
  <c r="K624" i="15"/>
  <c r="K622" i="15"/>
  <c r="K620" i="15"/>
  <c r="K633" i="15"/>
  <c r="K663" i="15"/>
  <c r="N644" i="15"/>
  <c r="N640" i="15" s="1"/>
  <c r="N22" i="16"/>
  <c r="K372" i="16"/>
  <c r="K398" i="16"/>
  <c r="O580" i="16"/>
  <c r="K635" i="16"/>
  <c r="O21" i="17"/>
  <c r="L19" i="17"/>
  <c r="P23" i="17"/>
  <c r="M13" i="17"/>
  <c r="P13" i="17" s="1"/>
  <c r="O49" i="17"/>
  <c r="M49" i="17"/>
  <c r="L26" i="17"/>
  <c r="N142" i="17"/>
  <c r="O403" i="17"/>
  <c r="L31" i="17"/>
  <c r="O54" i="18"/>
  <c r="P24" i="16"/>
  <c r="M14" i="16"/>
  <c r="P14" i="16" s="1"/>
  <c r="O74" i="16"/>
  <c r="P119" i="16"/>
  <c r="M118" i="16"/>
  <c r="P122" i="16"/>
  <c r="K173" i="16"/>
  <c r="P29" i="17"/>
  <c r="M28" i="17"/>
  <c r="P28" i="17" s="1"/>
  <c r="P67" i="17"/>
  <c r="P102" i="17"/>
  <c r="M96" i="17"/>
  <c r="K629" i="15"/>
  <c r="P144" i="16"/>
  <c r="P333" i="16"/>
  <c r="K368" i="16"/>
  <c r="O437" i="16"/>
  <c r="O535" i="16"/>
  <c r="K631" i="16"/>
  <c r="P45" i="17"/>
  <c r="N26" i="17"/>
  <c r="N16" i="17" s="1"/>
  <c r="K132" i="17"/>
  <c r="O141" i="17"/>
  <c r="K551" i="17"/>
  <c r="M14" i="18"/>
  <c r="P14" i="18" s="1"/>
  <c r="P24" i="18"/>
  <c r="L24" i="18"/>
  <c r="L45" i="18"/>
  <c r="M14" i="17"/>
  <c r="P14" i="17" s="1"/>
  <c r="N96" i="17"/>
  <c r="N94" i="17" s="1"/>
  <c r="K229" i="17"/>
  <c r="K267" i="17"/>
  <c r="O383" i="17"/>
  <c r="K417" i="17"/>
  <c r="K423" i="17"/>
  <c r="K429" i="17"/>
  <c r="K455" i="17"/>
  <c r="L23" i="18"/>
  <c r="K65" i="18"/>
  <c r="K112" i="18"/>
  <c r="M310" i="18"/>
  <c r="P275" i="18"/>
  <c r="N273" i="18"/>
  <c r="K249" i="17"/>
  <c r="K265" i="17"/>
  <c r="K421" i="17"/>
  <c r="K427" i="17"/>
  <c r="L640" i="17"/>
  <c r="O648" i="17"/>
  <c r="O19" i="18"/>
  <c r="P29" i="18"/>
  <c r="M28" i="18"/>
  <c r="P28" i="18" s="1"/>
  <c r="K110" i="18"/>
  <c r="K306" i="18"/>
  <c r="O435" i="18"/>
  <c r="L31" i="18"/>
  <c r="L11" i="18" s="1"/>
  <c r="O456" i="18"/>
  <c r="P45" i="18"/>
  <c r="M43" i="18"/>
  <c r="N26" i="18"/>
  <c r="P57" i="18"/>
  <c r="K87" i="18"/>
  <c r="O102" i="18"/>
  <c r="M102" i="18"/>
  <c r="M96" i="18" s="1"/>
  <c r="K149" i="18"/>
  <c r="O311" i="18"/>
  <c r="K368" i="18"/>
  <c r="K396" i="18"/>
  <c r="O535" i="18"/>
  <c r="O251" i="18"/>
  <c r="P272" i="18"/>
  <c r="M271" i="18"/>
  <c r="O318" i="18"/>
  <c r="O21" i="18"/>
  <c r="N22" i="18"/>
  <c r="K83" i="18"/>
  <c r="O95" i="18"/>
  <c r="O258" i="18"/>
  <c r="K372" i="18"/>
  <c r="O533" i="18"/>
  <c r="O279" i="18"/>
  <c r="K612" i="18"/>
  <c r="K614" i="18"/>
  <c r="K616" i="18"/>
  <c r="K618" i="18"/>
  <c r="K620" i="18"/>
  <c r="K622" i="18"/>
  <c r="K624" i="18"/>
  <c r="K626" i="18"/>
  <c r="O665" i="18"/>
  <c r="M220" i="18"/>
  <c r="M290" i="18"/>
  <c r="M337" i="18"/>
  <c r="K611" i="18"/>
  <c r="K613" i="18"/>
  <c r="K615" i="18"/>
  <c r="K617" i="18"/>
  <c r="K621" i="18"/>
  <c r="K623" i="18"/>
  <c r="O551" i="1" l="1"/>
  <c r="K376" i="1"/>
  <c r="K173" i="1"/>
  <c r="L312" i="15"/>
  <c r="P222" i="15"/>
  <c r="K64" i="1"/>
  <c r="O455" i="1"/>
  <c r="O222" i="15"/>
  <c r="P222" i="7"/>
  <c r="O566" i="1"/>
  <c r="O57" i="15"/>
  <c r="N118" i="6"/>
  <c r="P118" i="6" s="1"/>
  <c r="L43" i="9"/>
  <c r="L41" i="9" s="1"/>
  <c r="O41" i="9" s="1"/>
  <c r="L273" i="7"/>
  <c r="L271" i="7" s="1"/>
  <c r="K466" i="1"/>
  <c r="P122" i="1"/>
  <c r="K595" i="1"/>
  <c r="O53" i="13"/>
  <c r="O224" i="8"/>
  <c r="O224" i="15"/>
  <c r="K482" i="1"/>
  <c r="K628" i="1"/>
  <c r="K397" i="1"/>
  <c r="K149" i="1"/>
  <c r="L273" i="9"/>
  <c r="O273" i="9" s="1"/>
  <c r="L252" i="8"/>
  <c r="L250" i="8" s="1"/>
  <c r="O250" i="8" s="1"/>
  <c r="O122" i="16"/>
  <c r="O294" i="9"/>
  <c r="K235" i="1"/>
  <c r="K396" i="1"/>
  <c r="K451" i="1"/>
  <c r="K597" i="1"/>
  <c r="O665" i="1"/>
  <c r="O601" i="1"/>
  <c r="O144" i="10"/>
  <c r="O57" i="13"/>
  <c r="O404" i="1"/>
  <c r="K219" i="1"/>
  <c r="L142" i="16"/>
  <c r="L140" i="16" s="1"/>
  <c r="O140" i="16" s="1"/>
  <c r="O333" i="7"/>
  <c r="O333" i="12"/>
  <c r="L68" i="7"/>
  <c r="O68" i="7" s="1"/>
  <c r="O57" i="7"/>
  <c r="O401" i="1"/>
  <c r="L29" i="2"/>
  <c r="O29" i="2" s="1"/>
  <c r="K564" i="1"/>
  <c r="N118" i="16"/>
  <c r="N37" i="16" s="1"/>
  <c r="P273" i="4"/>
  <c r="L142" i="8"/>
  <c r="L140" i="8" s="1"/>
  <c r="O140" i="8" s="1"/>
  <c r="O70" i="5"/>
  <c r="K112" i="1"/>
  <c r="O57" i="17"/>
  <c r="P222" i="9"/>
  <c r="L273" i="16"/>
  <c r="O273" i="16" s="1"/>
  <c r="P120" i="9"/>
  <c r="O352" i="1"/>
  <c r="P68" i="6"/>
  <c r="O333" i="2"/>
  <c r="L222" i="6"/>
  <c r="O222" i="6" s="1"/>
  <c r="O144" i="5"/>
  <c r="O254" i="13"/>
  <c r="P45" i="1"/>
  <c r="M310" i="15"/>
  <c r="P310" i="15" s="1"/>
  <c r="L11" i="7"/>
  <c r="L55" i="8"/>
  <c r="O55" i="8" s="1"/>
  <c r="P66" i="8"/>
  <c r="L55" i="9"/>
  <c r="L53" i="9" s="1"/>
  <c r="O53" i="9" s="1"/>
  <c r="O120" i="16"/>
  <c r="O599" i="1"/>
  <c r="O651" i="1"/>
  <c r="O98" i="4"/>
  <c r="P273" i="12"/>
  <c r="L331" i="4"/>
  <c r="L329" i="4" s="1"/>
  <c r="O329" i="4" s="1"/>
  <c r="O70" i="2"/>
  <c r="N53" i="8"/>
  <c r="P53" i="8" s="1"/>
  <c r="O144" i="14"/>
  <c r="O45" i="15"/>
  <c r="L273" i="12"/>
  <c r="O273" i="12" s="1"/>
  <c r="N41" i="13"/>
  <c r="O41" i="13" s="1"/>
  <c r="P118" i="12"/>
  <c r="L292" i="8"/>
  <c r="O292" i="8" s="1"/>
  <c r="L68" i="4"/>
  <c r="L66" i="4" s="1"/>
  <c r="O66" i="4" s="1"/>
  <c r="K85" i="1"/>
  <c r="L142" i="18"/>
  <c r="O142" i="18" s="1"/>
  <c r="L120" i="5"/>
  <c r="O120" i="5" s="1"/>
  <c r="L273" i="17"/>
  <c r="O273" i="17" s="1"/>
  <c r="L120" i="13"/>
  <c r="L118" i="13" s="1"/>
  <c r="O118" i="13" s="1"/>
  <c r="L120" i="2"/>
  <c r="O120" i="2" s="1"/>
  <c r="P220" i="13"/>
  <c r="K611" i="1"/>
  <c r="O70" i="16"/>
  <c r="O333" i="18"/>
  <c r="O333" i="15"/>
  <c r="O57" i="6"/>
  <c r="L14" i="5"/>
  <c r="O14" i="5" s="1"/>
  <c r="O94" i="4"/>
  <c r="O45" i="10"/>
  <c r="O34" i="5"/>
  <c r="P222" i="13"/>
  <c r="O580" i="1"/>
  <c r="K309" i="1"/>
  <c r="J671" i="1"/>
  <c r="K671" i="1" s="1"/>
  <c r="L292" i="13"/>
  <c r="L290" i="13" s="1"/>
  <c r="O290" i="13" s="1"/>
  <c r="O314" i="4"/>
  <c r="L222" i="16"/>
  <c r="O222" i="16" s="1"/>
  <c r="O98" i="10"/>
  <c r="L142" i="13"/>
  <c r="O142" i="13" s="1"/>
  <c r="P53" i="10"/>
  <c r="P142" i="13"/>
  <c r="P252" i="3"/>
  <c r="O292" i="16"/>
  <c r="K633" i="1"/>
  <c r="K111" i="1"/>
  <c r="K270" i="1"/>
  <c r="L120" i="12"/>
  <c r="O120" i="12" s="1"/>
  <c r="P333" i="1"/>
  <c r="K591" i="1"/>
  <c r="K401" i="1"/>
  <c r="K418" i="1"/>
  <c r="K215" i="1"/>
  <c r="L312" i="12"/>
  <c r="O312" i="12" s="1"/>
  <c r="L120" i="9"/>
  <c r="O120" i="9" s="1"/>
  <c r="O224" i="17"/>
  <c r="O98" i="14"/>
  <c r="L252" i="10"/>
  <c r="O252" i="10" s="1"/>
  <c r="K668" i="1"/>
  <c r="M310" i="8"/>
  <c r="P310" i="8" s="1"/>
  <c r="K533" i="1"/>
  <c r="K132" i="1"/>
  <c r="O275" i="3"/>
  <c r="P331" i="16"/>
  <c r="L292" i="14"/>
  <c r="O292" i="14" s="1"/>
  <c r="N220" i="12"/>
  <c r="P220" i="12" s="1"/>
  <c r="O294" i="6"/>
  <c r="O70" i="3"/>
  <c r="L312" i="10"/>
  <c r="O312" i="10" s="1"/>
  <c r="O144" i="6"/>
  <c r="O671" i="1"/>
  <c r="N11" i="17"/>
  <c r="N9" i="17" s="1"/>
  <c r="O437" i="1"/>
  <c r="P329" i="3"/>
  <c r="K343" i="1"/>
  <c r="L252" i="11"/>
  <c r="O252" i="11" s="1"/>
  <c r="O331" i="3"/>
  <c r="K381" i="1"/>
  <c r="K580" i="1"/>
  <c r="O459" i="1"/>
  <c r="K424" i="1"/>
  <c r="N11" i="16"/>
  <c r="N9" i="16" s="1"/>
  <c r="L252" i="14"/>
  <c r="O252" i="14" s="1"/>
  <c r="L29" i="13"/>
  <c r="O29" i="13" s="1"/>
  <c r="K665" i="1"/>
  <c r="K265" i="1"/>
  <c r="O312" i="4"/>
  <c r="M290" i="3"/>
  <c r="P290" i="3" s="1"/>
  <c r="P329" i="2"/>
  <c r="K350" i="1"/>
  <c r="P142" i="2"/>
  <c r="K635" i="1"/>
  <c r="P250" i="11"/>
  <c r="K428" i="1"/>
  <c r="O144" i="15"/>
  <c r="N11" i="14"/>
  <c r="N9" i="14" s="1"/>
  <c r="O57" i="5"/>
  <c r="K345" i="1"/>
  <c r="K473" i="1"/>
  <c r="N28" i="18"/>
  <c r="K266" i="1"/>
  <c r="K614" i="1"/>
  <c r="K108" i="1"/>
  <c r="K589" i="1"/>
  <c r="P252" i="11"/>
  <c r="P26" i="13"/>
  <c r="O34" i="2"/>
  <c r="O16" i="6"/>
  <c r="L252" i="6"/>
  <c r="O252" i="6" s="1"/>
  <c r="P140" i="6"/>
  <c r="K650" i="1"/>
  <c r="K80" i="1"/>
  <c r="O294" i="15"/>
  <c r="K626" i="1"/>
  <c r="O553" i="1"/>
  <c r="N28" i="10"/>
  <c r="O55" i="7"/>
  <c r="M290" i="9"/>
  <c r="P290" i="9" s="1"/>
  <c r="P118" i="13"/>
  <c r="O45" i="13"/>
  <c r="L222" i="18"/>
  <c r="O222" i="18" s="1"/>
  <c r="K427" i="1"/>
  <c r="N290" i="18"/>
  <c r="P290" i="18" s="1"/>
  <c r="L96" i="17"/>
  <c r="L94" i="17" s="1"/>
  <c r="O94" i="17" s="1"/>
  <c r="L273" i="6"/>
  <c r="L271" i="6" s="1"/>
  <c r="O271" i="6" s="1"/>
  <c r="K349" i="1"/>
  <c r="O275" i="14"/>
  <c r="K186" i="1"/>
  <c r="K551" i="1"/>
  <c r="L331" i="14"/>
  <c r="O331" i="14" s="1"/>
  <c r="L68" i="10"/>
  <c r="L66" i="10" s="1"/>
  <c r="O66" i="10" s="1"/>
  <c r="P43" i="9"/>
  <c r="L222" i="3"/>
  <c r="L220" i="3" s="1"/>
  <c r="O220" i="3" s="1"/>
  <c r="M140" i="5"/>
  <c r="P140" i="5" s="1"/>
  <c r="L292" i="11"/>
  <c r="L290" i="11" s="1"/>
  <c r="O290" i="11" s="1"/>
  <c r="O314" i="5"/>
  <c r="K213" i="1"/>
  <c r="K81" i="1"/>
  <c r="L120" i="8"/>
  <c r="O120" i="8" s="1"/>
  <c r="K264" i="1"/>
  <c r="O57" i="2"/>
  <c r="O55" i="2"/>
  <c r="K267" i="1"/>
  <c r="K419" i="1"/>
  <c r="O34" i="9"/>
  <c r="N11" i="6"/>
  <c r="N9" i="6" s="1"/>
  <c r="O45" i="4"/>
  <c r="O57" i="3"/>
  <c r="K464" i="1"/>
  <c r="N28" i="6"/>
  <c r="L222" i="14"/>
  <c r="O222" i="14" s="1"/>
  <c r="L310" i="5"/>
  <c r="O310" i="5" s="1"/>
  <c r="K629" i="1"/>
  <c r="O597" i="1"/>
  <c r="K398" i="1"/>
  <c r="K200" i="1"/>
  <c r="P273" i="13"/>
  <c r="K450" i="1"/>
  <c r="L331" i="17"/>
  <c r="O331" i="17" s="1"/>
  <c r="P312" i="2"/>
  <c r="P252" i="12"/>
  <c r="O314" i="9"/>
  <c r="K176" i="1"/>
  <c r="K430" i="1"/>
  <c r="K201" i="1"/>
  <c r="K199" i="1"/>
  <c r="K380" i="1"/>
  <c r="O142" i="12"/>
  <c r="L220" i="15"/>
  <c r="O220" i="15" s="1"/>
  <c r="O537" i="1"/>
  <c r="K204" i="1"/>
  <c r="O49" i="1"/>
  <c r="K370" i="1"/>
  <c r="K229" i="1"/>
  <c r="O24" i="5"/>
  <c r="L252" i="18"/>
  <c r="O252" i="18" s="1"/>
  <c r="M271" i="17"/>
  <c r="P271" i="17" s="1"/>
  <c r="L312" i="16"/>
  <c r="O312" i="16" s="1"/>
  <c r="L55" i="16"/>
  <c r="O55" i="16" s="1"/>
  <c r="P118" i="15"/>
  <c r="O222" i="11"/>
  <c r="O254" i="7"/>
  <c r="O347" i="1"/>
  <c r="O31" i="2"/>
  <c r="N28" i="13"/>
  <c r="P142" i="14"/>
  <c r="O70" i="17"/>
  <c r="N310" i="4"/>
  <c r="P310" i="4" s="1"/>
  <c r="N28" i="14"/>
  <c r="M26" i="12"/>
  <c r="P26" i="12" s="1"/>
  <c r="K138" i="1"/>
  <c r="M94" i="16"/>
  <c r="P94" i="16" s="1"/>
  <c r="L312" i="13"/>
  <c r="O312" i="13" s="1"/>
  <c r="P120" i="12"/>
  <c r="L11" i="13"/>
  <c r="O11" i="13" s="1"/>
  <c r="P140" i="12"/>
  <c r="N11" i="5"/>
  <c r="N9" i="5" s="1"/>
  <c r="K306" i="1"/>
  <c r="K417" i="1"/>
  <c r="P222" i="18"/>
  <c r="K372" i="1"/>
  <c r="P96" i="12"/>
  <c r="O34" i="14"/>
  <c r="K649" i="1"/>
  <c r="K498" i="1"/>
  <c r="P22" i="17"/>
  <c r="K328" i="1"/>
  <c r="K416" i="1"/>
  <c r="K630" i="1"/>
  <c r="K474" i="1"/>
  <c r="P224" i="1"/>
  <c r="O555" i="1"/>
  <c r="O148" i="1"/>
  <c r="N11" i="18"/>
  <c r="N9" i="18" s="1"/>
  <c r="O98" i="13"/>
  <c r="O144" i="12"/>
  <c r="M290" i="11"/>
  <c r="P290" i="11" s="1"/>
  <c r="P142" i="12"/>
  <c r="O53" i="3"/>
  <c r="K547" i="1"/>
  <c r="O668" i="1"/>
  <c r="O333" i="5"/>
  <c r="O55" i="17"/>
  <c r="O224" i="11"/>
  <c r="P68" i="7"/>
  <c r="K431" i="1"/>
  <c r="P273" i="15"/>
  <c r="O582" i="1"/>
  <c r="O439" i="1"/>
  <c r="K158" i="1"/>
  <c r="P220" i="18"/>
  <c r="L120" i="14"/>
  <c r="O120" i="14" s="1"/>
  <c r="O34" i="13"/>
  <c r="P329" i="8"/>
  <c r="M220" i="7"/>
  <c r="P220" i="7" s="1"/>
  <c r="K113" i="1"/>
  <c r="O55" i="3"/>
  <c r="O142" i="14"/>
  <c r="L222" i="12"/>
  <c r="L220" i="12" s="1"/>
  <c r="K324" i="1"/>
  <c r="L312" i="3"/>
  <c r="O312" i="3" s="1"/>
  <c r="O16" i="5"/>
  <c r="K423" i="1"/>
  <c r="P273" i="5"/>
  <c r="K83" i="1"/>
  <c r="K631" i="1"/>
  <c r="L273" i="2"/>
  <c r="L271" i="2" s="1"/>
  <c r="O271" i="2" s="1"/>
  <c r="O533" i="1"/>
  <c r="P312" i="16"/>
  <c r="N271" i="15"/>
  <c r="P271" i="15" s="1"/>
  <c r="O254" i="15"/>
  <c r="L43" i="8"/>
  <c r="O43" i="8" s="1"/>
  <c r="O314" i="6"/>
  <c r="P70" i="1"/>
  <c r="K375" i="1"/>
  <c r="L331" i="16"/>
  <c r="L329" i="16" s="1"/>
  <c r="O329" i="16" s="1"/>
  <c r="L292" i="7"/>
  <c r="P142" i="9"/>
  <c r="O45" i="3"/>
  <c r="P68" i="3"/>
  <c r="M140" i="2"/>
  <c r="P140" i="2" s="1"/>
  <c r="O34" i="3"/>
  <c r="L120" i="6"/>
  <c r="L118" i="6" s="1"/>
  <c r="O118" i="6" s="1"/>
  <c r="P142" i="7"/>
  <c r="K420" i="1"/>
  <c r="K648" i="1"/>
  <c r="K109" i="1"/>
  <c r="N43" i="1"/>
  <c r="N41" i="1" s="1"/>
  <c r="K216" i="1"/>
  <c r="O34" i="11"/>
  <c r="O333" i="13"/>
  <c r="M290" i="8"/>
  <c r="P290" i="8" s="1"/>
  <c r="L11" i="8"/>
  <c r="L9" i="8" s="1"/>
  <c r="O98" i="3"/>
  <c r="O294" i="5"/>
  <c r="L13" i="3"/>
  <c r="O13" i="3" s="1"/>
  <c r="P142" i="18"/>
  <c r="N29" i="12"/>
  <c r="N28" i="12" s="1"/>
  <c r="M250" i="12"/>
  <c r="P250" i="12" s="1"/>
  <c r="N28" i="7"/>
  <c r="O142" i="4"/>
  <c r="L120" i="7"/>
  <c r="O120" i="7" s="1"/>
  <c r="L120" i="4"/>
  <c r="O120" i="4" s="1"/>
  <c r="L29" i="6"/>
  <c r="O29" i="6" s="1"/>
  <c r="K432" i="1"/>
  <c r="O331" i="12"/>
  <c r="M66" i="17"/>
  <c r="P66" i="17" s="1"/>
  <c r="O331" i="5"/>
  <c r="L292" i="18"/>
  <c r="O292" i="18" s="1"/>
  <c r="O273" i="14"/>
  <c r="P55" i="18"/>
  <c r="L96" i="15"/>
  <c r="O96" i="15" s="1"/>
  <c r="L55" i="14"/>
  <c r="O55" i="14" s="1"/>
  <c r="N11" i="11"/>
  <c r="N9" i="11" s="1"/>
  <c r="O312" i="9"/>
  <c r="O31" i="8"/>
  <c r="M290" i="4"/>
  <c r="P290" i="4" s="1"/>
  <c r="O224" i="7"/>
  <c r="M290" i="5"/>
  <c r="P290" i="5" s="1"/>
  <c r="O457" i="1"/>
  <c r="P254" i="1"/>
  <c r="L96" i="16"/>
  <c r="O96" i="16" s="1"/>
  <c r="L252" i="12"/>
  <c r="O252" i="12" s="1"/>
  <c r="L312" i="11"/>
  <c r="L96" i="2"/>
  <c r="O96" i="2" s="1"/>
  <c r="L120" i="3"/>
  <c r="K133" i="1"/>
  <c r="K593" i="1"/>
  <c r="M250" i="10"/>
  <c r="P250" i="10" s="1"/>
  <c r="K84" i="1"/>
  <c r="O331" i="13"/>
  <c r="L68" i="18"/>
  <c r="L66" i="18" s="1"/>
  <c r="O66" i="18" s="1"/>
  <c r="N53" i="17"/>
  <c r="O53" i="17" s="1"/>
  <c r="M250" i="14"/>
  <c r="P250" i="14" s="1"/>
  <c r="P16" i="13"/>
  <c r="O57" i="4"/>
  <c r="K620" i="1"/>
  <c r="P140" i="4"/>
  <c r="O661" i="1"/>
  <c r="L292" i="4"/>
  <c r="O292" i="4" s="1"/>
  <c r="K560" i="1"/>
  <c r="K249" i="1"/>
  <c r="O435" i="1"/>
  <c r="O535" i="1"/>
  <c r="K93" i="1"/>
  <c r="L11" i="6"/>
  <c r="O11" i="6" s="1"/>
  <c r="K86" i="1"/>
  <c r="O584" i="1"/>
  <c r="P43" i="11"/>
  <c r="O142" i="6"/>
  <c r="L14" i="8"/>
  <c r="N20" i="8"/>
  <c r="N18" i="8" s="1"/>
  <c r="K634" i="1"/>
  <c r="K425" i="1"/>
  <c r="K422" i="1"/>
  <c r="O74" i="1"/>
  <c r="K92" i="1"/>
  <c r="O333" i="6"/>
  <c r="O96" i="6"/>
  <c r="K341" i="1"/>
  <c r="K285" i="1"/>
  <c r="P294" i="1"/>
  <c r="K481" i="1"/>
  <c r="L43" i="6"/>
  <c r="L41" i="6" s="1"/>
  <c r="O275" i="15"/>
  <c r="L68" i="6"/>
  <c r="O68" i="6" s="1"/>
  <c r="L252" i="5"/>
  <c r="L11" i="16"/>
  <c r="L9" i="16" s="1"/>
  <c r="O329" i="11"/>
  <c r="L29" i="16"/>
  <c r="O29" i="16" s="1"/>
  <c r="N41" i="11"/>
  <c r="P41" i="11" s="1"/>
  <c r="O331" i="11"/>
  <c r="O70" i="8"/>
  <c r="O98" i="6"/>
  <c r="P53" i="4"/>
  <c r="P222" i="5"/>
  <c r="K621" i="1"/>
  <c r="O32" i="3"/>
  <c r="O57" i="11"/>
  <c r="N28" i="8"/>
  <c r="O329" i="6"/>
  <c r="K624" i="1"/>
  <c r="P312" i="3"/>
  <c r="M22" i="1"/>
  <c r="M12" i="1" s="1"/>
  <c r="K117" i="1"/>
  <c r="O222" i="8"/>
  <c r="K402" i="1"/>
  <c r="O68" i="8"/>
  <c r="K622" i="1"/>
  <c r="L222" i="10"/>
  <c r="O222" i="10" s="1"/>
  <c r="L14" i="3"/>
  <c r="O14" i="3" s="1"/>
  <c r="O45" i="5"/>
  <c r="N11" i="8"/>
  <c r="N9" i="8" s="1"/>
  <c r="L250" i="7"/>
  <c r="O250" i="7" s="1"/>
  <c r="L252" i="3"/>
  <c r="O252" i="3" s="1"/>
  <c r="K449" i="1"/>
  <c r="N12" i="8"/>
  <c r="N10" i="8" s="1"/>
  <c r="O140" i="6"/>
  <c r="K65" i="1"/>
  <c r="L14" i="16"/>
  <c r="O14" i="16" s="1"/>
  <c r="K189" i="1"/>
  <c r="K185" i="1"/>
  <c r="O34" i="4"/>
  <c r="K623" i="1"/>
  <c r="M140" i="18"/>
  <c r="P140" i="18" s="1"/>
  <c r="N11" i="13"/>
  <c r="N9" i="13" s="1"/>
  <c r="P118" i="11"/>
  <c r="M118" i="10"/>
  <c r="P118" i="10" s="1"/>
  <c r="P331" i="8"/>
  <c r="L140" i="5"/>
  <c r="O140" i="5" s="1"/>
  <c r="O333" i="3"/>
  <c r="P142" i="16"/>
  <c r="P310" i="2"/>
  <c r="K573" i="1"/>
  <c r="P331" i="2"/>
  <c r="O640" i="18"/>
  <c r="P55" i="16"/>
  <c r="L250" i="13"/>
  <c r="O250" i="13" s="1"/>
  <c r="P120" i="11"/>
  <c r="P142" i="11"/>
  <c r="P140" i="10"/>
  <c r="L68" i="11"/>
  <c r="L66" i="11" s="1"/>
  <c r="O66" i="11" s="1"/>
  <c r="N329" i="13"/>
  <c r="L68" i="12"/>
  <c r="O68" i="12" s="1"/>
  <c r="L220" i="8"/>
  <c r="O220" i="8" s="1"/>
  <c r="L22" i="8"/>
  <c r="L20" i="8" s="1"/>
  <c r="P55" i="2"/>
  <c r="O650" i="1"/>
  <c r="K429" i="1"/>
  <c r="M271" i="5"/>
  <c r="P271" i="5" s="1"/>
  <c r="O102" i="1"/>
  <c r="K82" i="1"/>
  <c r="K632" i="1"/>
  <c r="P68" i="16"/>
  <c r="O224" i="4"/>
  <c r="O43" i="2"/>
  <c r="K304" i="1"/>
  <c r="P68" i="14"/>
  <c r="L43" i="17"/>
  <c r="O43" i="17" s="1"/>
  <c r="P220" i="8"/>
  <c r="O275" i="8"/>
  <c r="L331" i="8"/>
  <c r="O331" i="8" s="1"/>
  <c r="O43" i="5"/>
  <c r="O349" i="1"/>
  <c r="O144" i="17"/>
  <c r="O43" i="13"/>
  <c r="P142" i="10"/>
  <c r="L43" i="11"/>
  <c r="O43" i="11" s="1"/>
  <c r="P43" i="5"/>
  <c r="I367" i="1"/>
  <c r="K367" i="1" s="1"/>
  <c r="O337" i="1"/>
  <c r="K340" i="1"/>
  <c r="K618" i="1"/>
  <c r="K435" i="1"/>
  <c r="J651" i="1"/>
  <c r="K651" i="1" s="1"/>
  <c r="L23" i="1"/>
  <c r="O23" i="1" s="1"/>
  <c r="O275" i="18"/>
  <c r="M66" i="7"/>
  <c r="P66" i="7" s="1"/>
  <c r="O380" i="1"/>
  <c r="L29" i="7"/>
  <c r="O29" i="7" s="1"/>
  <c r="O273" i="8"/>
  <c r="N53" i="2"/>
  <c r="P53" i="2" s="1"/>
  <c r="P142" i="3"/>
  <c r="K625" i="1"/>
  <c r="L140" i="12"/>
  <c r="O140" i="12" s="1"/>
  <c r="N644" i="1"/>
  <c r="N640" i="1" s="1"/>
  <c r="N638" i="1" s="1"/>
  <c r="N636" i="1" s="1"/>
  <c r="O34" i="18"/>
  <c r="L22" i="7"/>
  <c r="L20" i="7" s="1"/>
  <c r="O96" i="3"/>
  <c r="O26" i="6"/>
  <c r="P118" i="5"/>
  <c r="P144" i="1"/>
  <c r="O142" i="15"/>
  <c r="L24" i="1"/>
  <c r="O24" i="1" s="1"/>
  <c r="M271" i="13"/>
  <c r="P271" i="13" s="1"/>
  <c r="P66" i="14"/>
  <c r="O331" i="10"/>
  <c r="O55" i="15"/>
  <c r="K110" i="1"/>
  <c r="M290" i="13"/>
  <c r="P290" i="13" s="1"/>
  <c r="L142" i="9"/>
  <c r="O142" i="9" s="1"/>
  <c r="K612" i="1"/>
  <c r="O649" i="1"/>
  <c r="P142" i="8"/>
  <c r="O294" i="17"/>
  <c r="L55" i="18"/>
  <c r="O122" i="17"/>
  <c r="M290" i="15"/>
  <c r="P290" i="15" s="1"/>
  <c r="O140" i="14"/>
  <c r="M94" i="13"/>
  <c r="P94" i="13" s="1"/>
  <c r="M290" i="12"/>
  <c r="P290" i="12" s="1"/>
  <c r="P120" i="13"/>
  <c r="L273" i="11"/>
  <c r="L271" i="11" s="1"/>
  <c r="O271" i="11" s="1"/>
  <c r="O96" i="12"/>
  <c r="O144" i="11"/>
  <c r="P271" i="8"/>
  <c r="L273" i="10"/>
  <c r="L271" i="10" s="1"/>
  <c r="O271" i="10" s="1"/>
  <c r="O640" i="9"/>
  <c r="P222" i="8"/>
  <c r="O45" i="7"/>
  <c r="L14" i="9"/>
  <c r="O14" i="9" s="1"/>
  <c r="P68" i="8"/>
  <c r="O34" i="6"/>
  <c r="N20" i="6"/>
  <c r="N18" i="6" s="1"/>
  <c r="N220" i="4"/>
  <c r="P220" i="4" s="1"/>
  <c r="L329" i="5"/>
  <c r="O329" i="5" s="1"/>
  <c r="L638" i="3"/>
  <c r="L636" i="3" s="1"/>
  <c r="O636" i="3" s="1"/>
  <c r="K615" i="1"/>
  <c r="O224" i="5"/>
  <c r="L94" i="3"/>
  <c r="O94" i="3" s="1"/>
  <c r="O144" i="4"/>
  <c r="N28" i="5"/>
  <c r="O24" i="3"/>
  <c r="O144" i="2"/>
  <c r="P314" i="1"/>
  <c r="M94" i="2"/>
  <c r="P94" i="2" s="1"/>
  <c r="P222" i="14"/>
  <c r="M310" i="11"/>
  <c r="P310" i="11" s="1"/>
  <c r="L292" i="10"/>
  <c r="L290" i="10" s="1"/>
  <c r="O290" i="10" s="1"/>
  <c r="L120" i="10"/>
  <c r="P22" i="6"/>
  <c r="N250" i="4"/>
  <c r="P250" i="4" s="1"/>
  <c r="K421" i="1"/>
  <c r="P43" i="2"/>
  <c r="L292" i="3"/>
  <c r="O34" i="16"/>
  <c r="P273" i="6"/>
  <c r="O406" i="1"/>
  <c r="N14" i="14"/>
  <c r="O94" i="12"/>
  <c r="O70" i="14"/>
  <c r="O638" i="9"/>
  <c r="L30" i="3"/>
  <c r="O30" i="3" s="1"/>
  <c r="L22" i="2"/>
  <c r="L20" i="2" s="1"/>
  <c r="O118" i="17"/>
  <c r="O120" i="17"/>
  <c r="P220" i="14"/>
  <c r="K616" i="1"/>
  <c r="K613" i="1"/>
  <c r="L22" i="6"/>
  <c r="O22" i="6" s="1"/>
  <c r="L222" i="9"/>
  <c r="P222" i="6"/>
  <c r="M271" i="9"/>
  <c r="P271" i="9" s="1"/>
  <c r="P142" i="6"/>
  <c r="P120" i="5"/>
  <c r="P271" i="6"/>
  <c r="P55" i="7"/>
  <c r="N140" i="3"/>
  <c r="N37" i="3" s="1"/>
  <c r="P275" i="1"/>
  <c r="L142" i="3"/>
  <c r="O142" i="3" s="1"/>
  <c r="O34" i="17"/>
  <c r="O68" i="16"/>
  <c r="L252" i="16"/>
  <c r="L250" i="16" s="1"/>
  <c r="O250" i="16" s="1"/>
  <c r="O294" i="16"/>
  <c r="P55" i="10"/>
  <c r="O333" i="10"/>
  <c r="L96" i="11"/>
  <c r="O96" i="11" s="1"/>
  <c r="P273" i="8"/>
  <c r="L312" i="8"/>
  <c r="O312" i="8" s="1"/>
  <c r="O331" i="7"/>
  <c r="O636" i="9"/>
  <c r="N53" i="7"/>
  <c r="O53" i="7" s="1"/>
  <c r="L329" i="3"/>
  <c r="O329" i="3" s="1"/>
  <c r="O30" i="5"/>
  <c r="P94" i="3"/>
  <c r="K619" i="1"/>
  <c r="N11" i="2"/>
  <c r="N9" i="2" s="1"/>
  <c r="N292" i="1"/>
  <c r="M20" i="6"/>
  <c r="M18" i="6" s="1"/>
  <c r="L273" i="4"/>
  <c r="M118" i="14"/>
  <c r="P118" i="14" s="1"/>
  <c r="L22" i="11"/>
  <c r="L20" i="11" s="1"/>
  <c r="L292" i="12"/>
  <c r="O292" i="12" s="1"/>
  <c r="P140" i="7"/>
  <c r="L22" i="5"/>
  <c r="O22" i="5" s="1"/>
  <c r="P220" i="2"/>
  <c r="N28" i="16"/>
  <c r="O34" i="10"/>
  <c r="M250" i="3"/>
  <c r="P250" i="3" s="1"/>
  <c r="P43" i="18"/>
  <c r="P68" i="15"/>
  <c r="O98" i="12"/>
  <c r="P331" i="10"/>
  <c r="N12" i="10"/>
  <c r="N10" i="10" s="1"/>
  <c r="L331" i="9"/>
  <c r="O32" i="5"/>
  <c r="K617" i="1"/>
  <c r="P26" i="3"/>
  <c r="P16" i="6"/>
  <c r="L34" i="1"/>
  <c r="P98" i="1"/>
  <c r="P26" i="6"/>
  <c r="N31" i="1"/>
  <c r="N29" i="1" s="1"/>
  <c r="O314" i="17"/>
  <c r="O564" i="1"/>
  <c r="M310" i="10"/>
  <c r="P310" i="10" s="1"/>
  <c r="O354" i="1"/>
  <c r="O331" i="18"/>
  <c r="L329" i="18"/>
  <c r="O329" i="18" s="1"/>
  <c r="O292" i="15"/>
  <c r="L290" i="15"/>
  <c r="O290" i="15" s="1"/>
  <c r="L271" i="18"/>
  <c r="O273" i="18"/>
  <c r="M220" i="10"/>
  <c r="P220" i="10" s="1"/>
  <c r="O640" i="11"/>
  <c r="L120" i="11"/>
  <c r="O26" i="5"/>
  <c r="L142" i="7"/>
  <c r="M118" i="3"/>
  <c r="P118" i="3" s="1"/>
  <c r="K499" i="1"/>
  <c r="O45" i="2"/>
  <c r="L22" i="3"/>
  <c r="L12" i="3" s="1"/>
  <c r="P222" i="17"/>
  <c r="L120" i="18"/>
  <c r="P53" i="15"/>
  <c r="M118" i="9"/>
  <c r="P118" i="9" s="1"/>
  <c r="P16" i="3"/>
  <c r="L252" i="4"/>
  <c r="P312" i="12"/>
  <c r="M310" i="12"/>
  <c r="P310" i="12" s="1"/>
  <c r="P96" i="3"/>
  <c r="M118" i="7"/>
  <c r="P118" i="7" s="1"/>
  <c r="N11" i="3"/>
  <c r="N9" i="3" s="1"/>
  <c r="N29" i="3"/>
  <c r="N28" i="3" s="1"/>
  <c r="L22" i="16"/>
  <c r="L12" i="16" s="1"/>
  <c r="L22" i="15"/>
  <c r="O22" i="15" s="1"/>
  <c r="O57" i="12"/>
  <c r="N37" i="10"/>
  <c r="L22" i="13"/>
  <c r="L20" i="13" s="1"/>
  <c r="O122" i="11"/>
  <c r="N20" i="10"/>
  <c r="N18" i="10" s="1"/>
  <c r="O144" i="7"/>
  <c r="O314" i="7"/>
  <c r="L140" i="4"/>
  <c r="O140" i="4" s="1"/>
  <c r="P55" i="4"/>
  <c r="N33" i="1"/>
  <c r="N13" i="1" s="1"/>
  <c r="L144" i="1"/>
  <c r="O144" i="1" s="1"/>
  <c r="M66" i="11"/>
  <c r="P66" i="11" s="1"/>
  <c r="P252" i="8"/>
  <c r="N28" i="4"/>
  <c r="N68" i="1"/>
  <c r="M290" i="17"/>
  <c r="P290" i="17" s="1"/>
  <c r="P252" i="13"/>
  <c r="M250" i="13"/>
  <c r="P250" i="13" s="1"/>
  <c r="K88" i="1"/>
  <c r="N26" i="1"/>
  <c r="N16" i="1" s="1"/>
  <c r="P140" i="16"/>
  <c r="L43" i="16"/>
  <c r="O43" i="16" s="1"/>
  <c r="L120" i="15"/>
  <c r="L96" i="9"/>
  <c r="O96" i="9" s="1"/>
  <c r="O16" i="9"/>
  <c r="O34" i="7"/>
  <c r="O98" i="5"/>
  <c r="L333" i="1"/>
  <c r="O333" i="1" s="1"/>
  <c r="N310" i="18"/>
  <c r="P310" i="18" s="1"/>
  <c r="P271" i="11"/>
  <c r="L122" i="1"/>
  <c r="O122" i="1" s="1"/>
  <c r="L29" i="10"/>
  <c r="O29" i="10" s="1"/>
  <c r="L11" i="10"/>
  <c r="O11" i="10" s="1"/>
  <c r="P252" i="6"/>
  <c r="M250" i="6"/>
  <c r="P250" i="6" s="1"/>
  <c r="P120" i="8"/>
  <c r="M118" i="8"/>
  <c r="P118" i="8" s="1"/>
  <c r="P68" i="4"/>
  <c r="M66" i="4"/>
  <c r="P66" i="4" s="1"/>
  <c r="K426" i="1"/>
  <c r="P140" i="9"/>
  <c r="L329" i="7"/>
  <c r="O329" i="7" s="1"/>
  <c r="O26" i="9"/>
  <c r="L22" i="4"/>
  <c r="O22" i="4" s="1"/>
  <c r="L273" i="5"/>
  <c r="O273" i="5" s="1"/>
  <c r="L96" i="5"/>
  <c r="K289" i="1"/>
  <c r="P271" i="10"/>
  <c r="P273" i="16"/>
  <c r="M271" i="16"/>
  <c r="P271" i="16" s="1"/>
  <c r="O312" i="18"/>
  <c r="L96" i="18"/>
  <c r="P331" i="15"/>
  <c r="O314" i="14"/>
  <c r="L222" i="13"/>
  <c r="O222" i="13" s="1"/>
  <c r="M26" i="11"/>
  <c r="P26" i="11" s="1"/>
  <c r="M290" i="7"/>
  <c r="P290" i="7" s="1"/>
  <c r="N11" i="4"/>
  <c r="N9" i="4" s="1"/>
  <c r="M10" i="6"/>
  <c r="N312" i="1"/>
  <c r="L310" i="4"/>
  <c r="K455" i="1"/>
  <c r="P222" i="2"/>
  <c r="P140" i="8"/>
  <c r="P273" i="11"/>
  <c r="P273" i="10"/>
  <c r="K164" i="1"/>
  <c r="P250" i="8"/>
  <c r="N94" i="6"/>
  <c r="M250" i="16"/>
  <c r="P250" i="16" s="1"/>
  <c r="P252" i="16"/>
  <c r="M220" i="17"/>
  <c r="P220" i="17" s="1"/>
  <c r="L68" i="15"/>
  <c r="O70" i="15"/>
  <c r="L310" i="10"/>
  <c r="O310" i="10" s="1"/>
  <c r="N252" i="1"/>
  <c r="N273" i="1"/>
  <c r="M220" i="16"/>
  <c r="P220" i="16" s="1"/>
  <c r="P222" i="16"/>
  <c r="N29" i="15"/>
  <c r="N28" i="15" s="1"/>
  <c r="N11" i="15"/>
  <c r="N9" i="15" s="1"/>
  <c r="O70" i="13"/>
  <c r="L68" i="13"/>
  <c r="P292" i="10"/>
  <c r="M290" i="10"/>
  <c r="P290" i="10" s="1"/>
  <c r="M94" i="9"/>
  <c r="P94" i="9" s="1"/>
  <c r="P96" i="9"/>
  <c r="P252" i="9"/>
  <c r="M250" i="9"/>
  <c r="P250" i="9" s="1"/>
  <c r="P312" i="5"/>
  <c r="M310" i="5"/>
  <c r="P310" i="5" s="1"/>
  <c r="L66" i="16"/>
  <c r="O66" i="16" s="1"/>
  <c r="N220" i="11"/>
  <c r="O220" i="11" s="1"/>
  <c r="M331" i="5"/>
  <c r="P252" i="17"/>
  <c r="M250" i="17"/>
  <c r="P250" i="17" s="1"/>
  <c r="P96" i="15"/>
  <c r="M94" i="15"/>
  <c r="P94" i="15" s="1"/>
  <c r="O273" i="15"/>
  <c r="L271" i="15"/>
  <c r="P55" i="15"/>
  <c r="M66" i="9"/>
  <c r="P66" i="9" s="1"/>
  <c r="P68" i="9"/>
  <c r="N11" i="7"/>
  <c r="N9" i="7" s="1"/>
  <c r="O31" i="3"/>
  <c r="L29" i="3"/>
  <c r="O29" i="3" s="1"/>
  <c r="M66" i="16"/>
  <c r="P66" i="16" s="1"/>
  <c r="N142" i="1"/>
  <c r="N11" i="10"/>
  <c r="N9" i="10" s="1"/>
  <c r="O271" i="8"/>
  <c r="P220" i="5"/>
  <c r="O55" i="5"/>
  <c r="P120" i="18"/>
  <c r="M118" i="18"/>
  <c r="P118" i="18" s="1"/>
  <c r="P292" i="16"/>
  <c r="M290" i="16"/>
  <c r="P290" i="16" s="1"/>
  <c r="O68" i="17"/>
  <c r="L66" i="17"/>
  <c r="O66" i="17" s="1"/>
  <c r="M94" i="10"/>
  <c r="P94" i="10" s="1"/>
  <c r="P96" i="10"/>
  <c r="P252" i="5"/>
  <c r="M250" i="5"/>
  <c r="P250" i="5" s="1"/>
  <c r="M271" i="4"/>
  <c r="P271" i="4" s="1"/>
  <c r="O43" i="15"/>
  <c r="L329" i="10"/>
  <c r="O329" i="10" s="1"/>
  <c r="P53" i="5"/>
  <c r="O53" i="6"/>
  <c r="P68" i="18"/>
  <c r="M66" i="18"/>
  <c r="P66" i="18" s="1"/>
  <c r="P55" i="17"/>
  <c r="M94" i="11"/>
  <c r="P94" i="11" s="1"/>
  <c r="P96" i="11"/>
  <c r="M43" i="12"/>
  <c r="M41" i="12" s="1"/>
  <c r="P41" i="12" s="1"/>
  <c r="P312" i="6"/>
  <c r="M310" i="6"/>
  <c r="P310" i="6" s="1"/>
  <c r="N120" i="1"/>
  <c r="O43" i="9"/>
  <c r="P120" i="2"/>
  <c r="M118" i="2"/>
  <c r="P118" i="2" s="1"/>
  <c r="M220" i="15"/>
  <c r="P220" i="15" s="1"/>
  <c r="P43" i="15"/>
  <c r="L66" i="5"/>
  <c r="O66" i="5" s="1"/>
  <c r="N37" i="5"/>
  <c r="M329" i="17"/>
  <c r="P329" i="17" s="1"/>
  <c r="P331" i="17"/>
  <c r="M331" i="11"/>
  <c r="L252" i="9"/>
  <c r="O254" i="9"/>
  <c r="M220" i="6"/>
  <c r="P220" i="6" s="1"/>
  <c r="O34" i="8"/>
  <c r="N14" i="8"/>
  <c r="M94" i="8"/>
  <c r="P94" i="8" s="1"/>
  <c r="P96" i="8"/>
  <c r="M290" i="6"/>
  <c r="P290" i="6" s="1"/>
  <c r="O292" i="9"/>
  <c r="L290" i="9"/>
  <c r="O290" i="9" s="1"/>
  <c r="O32" i="4"/>
  <c r="L30" i="4"/>
  <c r="O30" i="4" s="1"/>
  <c r="M66" i="5"/>
  <c r="P66" i="5" s="1"/>
  <c r="P68" i="5"/>
  <c r="P96" i="5"/>
  <c r="M94" i="5"/>
  <c r="P94" i="5" s="1"/>
  <c r="P271" i="2"/>
  <c r="P96" i="18"/>
  <c r="M94" i="18"/>
  <c r="P94" i="18" s="1"/>
  <c r="P43" i="16"/>
  <c r="M41" i="16"/>
  <c r="O31" i="17"/>
  <c r="L29" i="17"/>
  <c r="O41" i="15"/>
  <c r="P331" i="13"/>
  <c r="M329" i="13"/>
  <c r="P29" i="14"/>
  <c r="M28" i="14"/>
  <c r="P28" i="14" s="1"/>
  <c r="O70" i="9"/>
  <c r="L68" i="9"/>
  <c r="O23" i="8"/>
  <c r="L13" i="8"/>
  <c r="O13" i="8" s="1"/>
  <c r="M28" i="6"/>
  <c r="P28" i="6" s="1"/>
  <c r="P29" i="6"/>
  <c r="O11" i="5"/>
  <c r="L9" i="5"/>
  <c r="P29" i="4"/>
  <c r="M28" i="4"/>
  <c r="P28" i="4" s="1"/>
  <c r="N20" i="4"/>
  <c r="N18" i="4" s="1"/>
  <c r="N12" i="4"/>
  <c r="N10" i="4" s="1"/>
  <c r="P68" i="2"/>
  <c r="L70" i="1"/>
  <c r="O70" i="1" s="1"/>
  <c r="P252" i="18"/>
  <c r="M250" i="18"/>
  <c r="P250" i="18" s="1"/>
  <c r="L310" i="18"/>
  <c r="M41" i="18"/>
  <c r="P96" i="17"/>
  <c r="M94" i="17"/>
  <c r="P94" i="17" s="1"/>
  <c r="P49" i="17"/>
  <c r="M26" i="17"/>
  <c r="O19" i="17"/>
  <c r="N12" i="16"/>
  <c r="N10" i="16" s="1"/>
  <c r="N20" i="16"/>
  <c r="N18" i="16" s="1"/>
  <c r="O23" i="17"/>
  <c r="L13" i="17"/>
  <c r="O13" i="17" s="1"/>
  <c r="L53" i="15"/>
  <c r="O53" i="15" s="1"/>
  <c r="N20" i="17"/>
  <c r="N18" i="17" s="1"/>
  <c r="L13" i="16"/>
  <c r="O13" i="16" s="1"/>
  <c r="O94" i="14"/>
  <c r="L16" i="15"/>
  <c r="O16" i="15" s="1"/>
  <c r="O26" i="15"/>
  <c r="O19" i="14"/>
  <c r="O31" i="15"/>
  <c r="L29" i="15"/>
  <c r="M53" i="14"/>
  <c r="P53" i="14" s="1"/>
  <c r="P55" i="14"/>
  <c r="P19" i="15"/>
  <c r="O68" i="14"/>
  <c r="L66" i="14"/>
  <c r="O66" i="14" s="1"/>
  <c r="L94" i="13"/>
  <c r="O94" i="13" s="1"/>
  <c r="O24" i="12"/>
  <c r="L14" i="12"/>
  <c r="O14" i="12" s="1"/>
  <c r="O55" i="11"/>
  <c r="L53" i="11"/>
  <c r="L30" i="12"/>
  <c r="O30" i="12" s="1"/>
  <c r="O32" i="12"/>
  <c r="O34" i="12"/>
  <c r="L13" i="12"/>
  <c r="O13" i="12" s="1"/>
  <c r="O23" i="12"/>
  <c r="N12" i="11"/>
  <c r="N10" i="11" s="1"/>
  <c r="N20" i="11"/>
  <c r="N18" i="11" s="1"/>
  <c r="O142" i="10"/>
  <c r="L140" i="10"/>
  <c r="O140" i="10" s="1"/>
  <c r="O32" i="9"/>
  <c r="L30" i="9"/>
  <c r="O30" i="9" s="1"/>
  <c r="N28" i="11"/>
  <c r="O640" i="8"/>
  <c r="L638" i="8"/>
  <c r="O11" i="7"/>
  <c r="L9" i="7"/>
  <c r="O26" i="10"/>
  <c r="L16" i="10"/>
  <c r="O16" i="10" s="1"/>
  <c r="N37" i="9"/>
  <c r="M26" i="7"/>
  <c r="M20" i="7" s="1"/>
  <c r="P49" i="7"/>
  <c r="M49" i="1"/>
  <c r="N12" i="13"/>
  <c r="N10" i="13" s="1"/>
  <c r="N20" i="13"/>
  <c r="N18" i="13" s="1"/>
  <c r="O24" i="11"/>
  <c r="L14" i="11"/>
  <c r="O14" i="11" s="1"/>
  <c r="O24" i="6"/>
  <c r="L14" i="6"/>
  <c r="O14" i="6" s="1"/>
  <c r="O32" i="7"/>
  <c r="L30" i="7"/>
  <c r="P55" i="9"/>
  <c r="M53" i="9"/>
  <c r="P53" i="9" s="1"/>
  <c r="O24" i="7"/>
  <c r="L14" i="7"/>
  <c r="O14" i="7" s="1"/>
  <c r="O26" i="4"/>
  <c r="L16" i="4"/>
  <c r="O16" i="4" s="1"/>
  <c r="O55" i="4"/>
  <c r="L53" i="4"/>
  <c r="O53" i="4" s="1"/>
  <c r="L11" i="4"/>
  <c r="O31" i="4"/>
  <c r="L29" i="4"/>
  <c r="N12" i="6"/>
  <c r="O32" i="2"/>
  <c r="L30" i="2"/>
  <c r="O30" i="2" s="1"/>
  <c r="N12" i="2"/>
  <c r="N10" i="2" s="1"/>
  <c r="N20" i="2"/>
  <c r="N18" i="2" s="1"/>
  <c r="O23" i="7"/>
  <c r="L13" i="7"/>
  <c r="O13" i="7" s="1"/>
  <c r="L254" i="1"/>
  <c r="O254" i="1" s="1"/>
  <c r="O254" i="2"/>
  <c r="L252" i="2"/>
  <c r="O68" i="2"/>
  <c r="N32" i="1"/>
  <c r="N30" i="1" s="1"/>
  <c r="O385" i="1"/>
  <c r="N34" i="1"/>
  <c r="N14" i="1" s="1"/>
  <c r="P22" i="18"/>
  <c r="M12" i="18"/>
  <c r="O66" i="8"/>
  <c r="L640" i="1"/>
  <c r="O648" i="1"/>
  <c r="K497" i="1"/>
  <c r="L66" i="2"/>
  <c r="O26" i="17"/>
  <c r="L16" i="17"/>
  <c r="O16" i="17" s="1"/>
  <c r="P148" i="15"/>
  <c r="M26" i="15"/>
  <c r="M20" i="15" s="1"/>
  <c r="M148" i="1"/>
  <c r="P148" i="1" s="1"/>
  <c r="O312" i="15"/>
  <c r="L310" i="15"/>
  <c r="O310" i="15" s="1"/>
  <c r="N20" i="15"/>
  <c r="N18" i="15" s="1"/>
  <c r="N12" i="15"/>
  <c r="N10" i="15" s="1"/>
  <c r="O23" i="11"/>
  <c r="L13" i="11"/>
  <c r="O13" i="11" s="1"/>
  <c r="O32" i="11"/>
  <c r="L30" i="11"/>
  <c r="O30" i="11" s="1"/>
  <c r="P337" i="9"/>
  <c r="M26" i="9"/>
  <c r="M20" i="9" s="1"/>
  <c r="M18" i="9" s="1"/>
  <c r="M331" i="9"/>
  <c r="O292" i="6"/>
  <c r="L290" i="6"/>
  <c r="O290" i="6" s="1"/>
  <c r="N28" i="2"/>
  <c r="O638" i="18"/>
  <c r="L636" i="18"/>
  <c r="O636" i="18" s="1"/>
  <c r="P273" i="18"/>
  <c r="N271" i="18"/>
  <c r="P271" i="18" s="1"/>
  <c r="O222" i="17"/>
  <c r="L220" i="17"/>
  <c r="O220" i="17" s="1"/>
  <c r="O45" i="18"/>
  <c r="L22" i="18"/>
  <c r="L43" i="18"/>
  <c r="O142" i="17"/>
  <c r="N140" i="17"/>
  <c r="P140" i="17" s="1"/>
  <c r="L11" i="17"/>
  <c r="N30" i="17"/>
  <c r="O32" i="17"/>
  <c r="P142" i="17"/>
  <c r="P329" i="16"/>
  <c r="L118" i="16"/>
  <c r="P22" i="16"/>
  <c r="M12" i="16"/>
  <c r="M41" i="15"/>
  <c r="L30" i="15"/>
  <c r="O30" i="15" s="1"/>
  <c r="O32" i="15"/>
  <c r="N12" i="17"/>
  <c r="N10" i="17" s="1"/>
  <c r="O640" i="16"/>
  <c r="L638" i="16"/>
  <c r="O23" i="15"/>
  <c r="L13" i="15"/>
  <c r="O13" i="15" s="1"/>
  <c r="L29" i="14"/>
  <c r="O31" i="14"/>
  <c r="L11" i="14"/>
  <c r="P22" i="14"/>
  <c r="M12" i="14"/>
  <c r="M20" i="14"/>
  <c r="L30" i="14"/>
  <c r="O30" i="14" s="1"/>
  <c r="O32" i="14"/>
  <c r="N20" i="14"/>
  <c r="N18" i="14" s="1"/>
  <c r="N12" i="14"/>
  <c r="N10" i="14" s="1"/>
  <c r="O23" i="13"/>
  <c r="L13" i="13"/>
  <c r="O13" i="13" s="1"/>
  <c r="L329" i="12"/>
  <c r="O329" i="12" s="1"/>
  <c r="O23" i="10"/>
  <c r="L13" i="10"/>
  <c r="O13" i="10" s="1"/>
  <c r="O45" i="12"/>
  <c r="L22" i="12"/>
  <c r="L43" i="12"/>
  <c r="P66" i="15"/>
  <c r="O16" i="13"/>
  <c r="M140" i="11"/>
  <c r="P140" i="11" s="1"/>
  <c r="M329" i="10"/>
  <c r="P329" i="10" s="1"/>
  <c r="M9" i="10"/>
  <c r="P11" i="10"/>
  <c r="L22" i="9"/>
  <c r="O31" i="11"/>
  <c r="L29" i="11"/>
  <c r="L11" i="11"/>
  <c r="O26" i="11"/>
  <c r="L16" i="11"/>
  <c r="O16" i="11" s="1"/>
  <c r="M43" i="7"/>
  <c r="P19" i="9"/>
  <c r="P96" i="6"/>
  <c r="M94" i="6"/>
  <c r="P19" i="8"/>
  <c r="L310" i="7"/>
  <c r="O310" i="7" s="1"/>
  <c r="L310" i="6"/>
  <c r="O310" i="6" s="1"/>
  <c r="O640" i="7"/>
  <c r="L638" i="7"/>
  <c r="O638" i="6"/>
  <c r="L636" i="6"/>
  <c r="O636" i="6" s="1"/>
  <c r="L13" i="4"/>
  <c r="O13" i="4" s="1"/>
  <c r="O222" i="4"/>
  <c r="L220" i="4"/>
  <c r="P55" i="6"/>
  <c r="N12" i="5"/>
  <c r="N10" i="5" s="1"/>
  <c r="N20" i="5"/>
  <c r="N18" i="5" s="1"/>
  <c r="L636" i="4"/>
  <c r="O636" i="4" s="1"/>
  <c r="O638" i="4"/>
  <c r="O31" i="5"/>
  <c r="L29" i="5"/>
  <c r="O19" i="3"/>
  <c r="M55" i="1"/>
  <c r="P57" i="1"/>
  <c r="K377" i="1"/>
  <c r="L45" i="1"/>
  <c r="P331" i="3"/>
  <c r="O41" i="3"/>
  <c r="K465" i="1"/>
  <c r="M28" i="2"/>
  <c r="P28" i="2" s="1"/>
  <c r="O98" i="7"/>
  <c r="L96" i="7"/>
  <c r="L98" i="1"/>
  <c r="O98" i="1" s="1"/>
  <c r="L41" i="2"/>
  <c r="P43" i="3"/>
  <c r="O43" i="3"/>
  <c r="L314" i="1"/>
  <c r="O314" i="1" s="1"/>
  <c r="O314" i="2"/>
  <c r="L312" i="2"/>
  <c r="O142" i="2"/>
  <c r="L140" i="2"/>
  <c r="M66" i="2"/>
  <c r="O383" i="1"/>
  <c r="L32" i="1"/>
  <c r="M9" i="1"/>
  <c r="P11" i="1"/>
  <c r="N22" i="1"/>
  <c r="O292" i="17"/>
  <c r="L290" i="17"/>
  <c r="O290" i="17" s="1"/>
  <c r="O32" i="10"/>
  <c r="L30" i="10"/>
  <c r="P74" i="10"/>
  <c r="M26" i="10"/>
  <c r="M68" i="10"/>
  <c r="M74" i="1"/>
  <c r="P74" i="1" s="1"/>
  <c r="M12" i="10"/>
  <c r="P22" i="10"/>
  <c r="P11" i="5"/>
  <c r="M9" i="5"/>
  <c r="P102" i="4"/>
  <c r="M96" i="4"/>
  <c r="M102" i="1"/>
  <c r="P102" i="1" s="1"/>
  <c r="M9" i="4"/>
  <c r="O640" i="2"/>
  <c r="L638" i="2"/>
  <c r="P19" i="1"/>
  <c r="L29" i="18"/>
  <c r="O31" i="18"/>
  <c r="O23" i="18"/>
  <c r="L13" i="18"/>
  <c r="O13" i="18" s="1"/>
  <c r="L14" i="18"/>
  <c r="O14" i="18" s="1"/>
  <c r="O24" i="18"/>
  <c r="M43" i="17"/>
  <c r="P120" i="15"/>
  <c r="M120" i="1"/>
  <c r="M16" i="14"/>
  <c r="P16" i="14" s="1"/>
  <c r="P26" i="14"/>
  <c r="O640" i="13"/>
  <c r="L638" i="13"/>
  <c r="P292" i="14"/>
  <c r="M292" i="1"/>
  <c r="L13" i="14"/>
  <c r="O13" i="14" s="1"/>
  <c r="O23" i="14"/>
  <c r="O55" i="13"/>
  <c r="L29" i="12"/>
  <c r="O31" i="12"/>
  <c r="L11" i="12"/>
  <c r="P94" i="12"/>
  <c r="M142" i="15"/>
  <c r="P43" i="14"/>
  <c r="O312" i="14"/>
  <c r="L310" i="14"/>
  <c r="O310" i="14" s="1"/>
  <c r="P55" i="13"/>
  <c r="P11" i="11"/>
  <c r="M9" i="11"/>
  <c r="P337" i="12"/>
  <c r="M331" i="12"/>
  <c r="P68" i="13"/>
  <c r="M66" i="13"/>
  <c r="P66" i="13" s="1"/>
  <c r="O26" i="13"/>
  <c r="O331" i="15"/>
  <c r="L329" i="15"/>
  <c r="O275" i="13"/>
  <c r="L273" i="13"/>
  <c r="L275" i="1"/>
  <c r="O275" i="1" s="1"/>
  <c r="N222" i="1"/>
  <c r="O26" i="7"/>
  <c r="L16" i="7"/>
  <c r="O16" i="7" s="1"/>
  <c r="M9" i="9"/>
  <c r="P11" i="9"/>
  <c r="O96" i="10"/>
  <c r="L94" i="10"/>
  <c r="O94" i="10" s="1"/>
  <c r="O19" i="9"/>
  <c r="O98" i="8"/>
  <c r="L96" i="8"/>
  <c r="N20" i="7"/>
  <c r="N18" i="7" s="1"/>
  <c r="N12" i="7"/>
  <c r="N10" i="7" s="1"/>
  <c r="P49" i="8"/>
  <c r="M26" i="8"/>
  <c r="M20" i="8" s="1"/>
  <c r="O331" i="6"/>
  <c r="N331" i="1"/>
  <c r="P53" i="6"/>
  <c r="O640" i="6"/>
  <c r="P19" i="6"/>
  <c r="O19" i="6"/>
  <c r="O96" i="4"/>
  <c r="L53" i="5"/>
  <c r="O640" i="4"/>
  <c r="P41" i="3"/>
  <c r="P11" i="2"/>
  <c r="M9" i="2"/>
  <c r="P22" i="3"/>
  <c r="M12" i="3"/>
  <c r="M20" i="3"/>
  <c r="M18" i="3" s="1"/>
  <c r="M273" i="1"/>
  <c r="P273" i="2"/>
  <c r="P11" i="7"/>
  <c r="M9" i="7"/>
  <c r="N66" i="1"/>
  <c r="P19" i="3"/>
  <c r="M26" i="4"/>
  <c r="O294" i="2"/>
  <c r="L292" i="2"/>
  <c r="L294" i="1"/>
  <c r="O294" i="1" s="1"/>
  <c r="L30" i="18"/>
  <c r="O30" i="18" s="1"/>
  <c r="O32" i="18"/>
  <c r="P55" i="5"/>
  <c r="O23" i="2"/>
  <c r="L13" i="2"/>
  <c r="O13" i="2" s="1"/>
  <c r="O254" i="17"/>
  <c r="L252" i="17"/>
  <c r="L22" i="17"/>
  <c r="P19" i="18"/>
  <c r="O43" i="10"/>
  <c r="L41" i="10"/>
  <c r="P273" i="7"/>
  <c r="N271" i="7"/>
  <c r="O271" i="7" s="1"/>
  <c r="O32" i="8"/>
  <c r="L30" i="8"/>
  <c r="P22" i="9"/>
  <c r="M12" i="9"/>
  <c r="P22" i="5"/>
  <c r="M12" i="5"/>
  <c r="P222" i="3"/>
  <c r="M222" i="1"/>
  <c r="O331" i="2"/>
  <c r="L329" i="2"/>
  <c r="M331" i="18"/>
  <c r="P337" i="18"/>
  <c r="N20" i="18"/>
  <c r="N18" i="18" s="1"/>
  <c r="N12" i="18"/>
  <c r="O26" i="18"/>
  <c r="N16" i="18"/>
  <c r="O16" i="18" s="1"/>
  <c r="N638" i="15"/>
  <c r="O640" i="15"/>
  <c r="O19" i="15"/>
  <c r="N329" i="15"/>
  <c r="P252" i="15"/>
  <c r="M252" i="1"/>
  <c r="P22" i="15"/>
  <c r="M12" i="15"/>
  <c r="L638" i="14"/>
  <c r="O640" i="14"/>
  <c r="M9" i="14"/>
  <c r="P11" i="14"/>
  <c r="L140" i="15"/>
  <c r="O140" i="15" s="1"/>
  <c r="P96" i="14"/>
  <c r="M94" i="14"/>
  <c r="P94" i="14" s="1"/>
  <c r="P11" i="13"/>
  <c r="M9" i="13"/>
  <c r="O45" i="14"/>
  <c r="L43" i="14"/>
  <c r="L22" i="14"/>
  <c r="M310" i="14"/>
  <c r="P310" i="14" s="1"/>
  <c r="M28" i="13"/>
  <c r="P28" i="13" s="1"/>
  <c r="O640" i="12"/>
  <c r="L638" i="12"/>
  <c r="P22" i="12"/>
  <c r="M12" i="12"/>
  <c r="M20" i="13"/>
  <c r="M12" i="13"/>
  <c r="P22" i="13"/>
  <c r="O142" i="11"/>
  <c r="L140" i="11"/>
  <c r="O140" i="11" s="1"/>
  <c r="O96" i="14"/>
  <c r="P55" i="11"/>
  <c r="M53" i="11"/>
  <c r="P53" i="11" s="1"/>
  <c r="O640" i="10"/>
  <c r="L638" i="10"/>
  <c r="O24" i="13"/>
  <c r="L14" i="13"/>
  <c r="O14" i="13" s="1"/>
  <c r="P222" i="11"/>
  <c r="O32" i="13"/>
  <c r="L30" i="13"/>
  <c r="O30" i="13" s="1"/>
  <c r="L29" i="9"/>
  <c r="O31" i="9"/>
  <c r="M96" i="7"/>
  <c r="P102" i="7"/>
  <c r="L22" i="10"/>
  <c r="O57" i="10"/>
  <c r="L55" i="10"/>
  <c r="L57" i="1"/>
  <c r="L11" i="9"/>
  <c r="O26" i="8"/>
  <c r="L16" i="8"/>
  <c r="O16" i="8" s="1"/>
  <c r="L638" i="5"/>
  <c r="O640" i="5"/>
  <c r="O273" i="7"/>
  <c r="P331" i="6"/>
  <c r="M329" i="6"/>
  <c r="P329" i="6" s="1"/>
  <c r="P312" i="7"/>
  <c r="M310" i="7"/>
  <c r="M312" i="1"/>
  <c r="M9" i="6"/>
  <c r="L14" i="4"/>
  <c r="O14" i="4" s="1"/>
  <c r="O43" i="4"/>
  <c r="M20" i="2"/>
  <c r="M18" i="2" s="1"/>
  <c r="P22" i="2"/>
  <c r="M12" i="2"/>
  <c r="O292" i="5"/>
  <c r="L290" i="5"/>
  <c r="O290" i="5" s="1"/>
  <c r="O11" i="3"/>
  <c r="L9" i="3"/>
  <c r="M43" i="8"/>
  <c r="O55" i="6"/>
  <c r="P142" i="4"/>
  <c r="M220" i="3"/>
  <c r="M331" i="4"/>
  <c r="L33" i="1"/>
  <c r="O33" i="1" s="1"/>
  <c r="O353" i="1"/>
  <c r="O26" i="2"/>
  <c r="L16" i="2"/>
  <c r="O16" i="2" s="1"/>
  <c r="O26" i="3"/>
  <c r="L16" i="3"/>
  <c r="O16" i="3" s="1"/>
  <c r="O568" i="1"/>
  <c r="P19" i="2"/>
  <c r="M28" i="1"/>
  <c r="P28" i="1" s="1"/>
  <c r="P29" i="7"/>
  <c r="M28" i="7"/>
  <c r="P28" i="7" s="1"/>
  <c r="M9" i="3"/>
  <c r="P11" i="3"/>
  <c r="P41" i="2"/>
  <c r="O68" i="3"/>
  <c r="L66" i="3"/>
  <c r="O66" i="3" s="1"/>
  <c r="M271" i="3"/>
  <c r="P271" i="3" s="1"/>
  <c r="P273" i="3"/>
  <c r="O224" i="2"/>
  <c r="L222" i="2"/>
  <c r="L224" i="1"/>
  <c r="O224" i="1" s="1"/>
  <c r="L9" i="2"/>
  <c r="M26" i="16"/>
  <c r="P49" i="16"/>
  <c r="M9" i="15"/>
  <c r="P11" i="15"/>
  <c r="O19" i="12"/>
  <c r="O19" i="11"/>
  <c r="L16" i="12"/>
  <c r="O16" i="12" s="1"/>
  <c r="O26" i="12"/>
  <c r="P220" i="9"/>
  <c r="O23" i="9"/>
  <c r="L13" i="9"/>
  <c r="O13" i="9" s="1"/>
  <c r="P43" i="4"/>
  <c r="N41" i="4"/>
  <c r="O23" i="6"/>
  <c r="L13" i="6"/>
  <c r="O13" i="6" s="1"/>
  <c r="M12" i="8"/>
  <c r="P22" i="8"/>
  <c r="P55" i="3"/>
  <c r="M53" i="3"/>
  <c r="P53" i="3" s="1"/>
  <c r="O11" i="18"/>
  <c r="L9" i="18"/>
  <c r="P102" i="18"/>
  <c r="M26" i="18"/>
  <c r="O640" i="17"/>
  <c r="L638" i="17"/>
  <c r="L14" i="17"/>
  <c r="O14" i="17" s="1"/>
  <c r="O24" i="17"/>
  <c r="L9" i="15"/>
  <c r="O11" i="15"/>
  <c r="L14" i="15"/>
  <c r="O14" i="15" s="1"/>
  <c r="O24" i="15"/>
  <c r="L30" i="16"/>
  <c r="O30" i="16" s="1"/>
  <c r="O32" i="16"/>
  <c r="L16" i="16"/>
  <c r="O16" i="16" s="1"/>
  <c r="O26" i="16"/>
  <c r="P120" i="17"/>
  <c r="M118" i="17"/>
  <c r="P118" i="17" s="1"/>
  <c r="P11" i="16"/>
  <c r="M9" i="16"/>
  <c r="O252" i="15"/>
  <c r="L250" i="15"/>
  <c r="O250" i="15" s="1"/>
  <c r="P41" i="14"/>
  <c r="P273" i="14"/>
  <c r="O24" i="14"/>
  <c r="L14" i="14"/>
  <c r="L16" i="14"/>
  <c r="O16" i="14" s="1"/>
  <c r="O26" i="14"/>
  <c r="P331" i="14"/>
  <c r="M329" i="14"/>
  <c r="P329" i="14" s="1"/>
  <c r="N271" i="14"/>
  <c r="O271" i="14" s="1"/>
  <c r="O34" i="15"/>
  <c r="P11" i="12"/>
  <c r="M9" i="12"/>
  <c r="P55" i="12"/>
  <c r="O55" i="12"/>
  <c r="N20" i="12"/>
  <c r="N18" i="12" s="1"/>
  <c r="N12" i="12"/>
  <c r="N10" i="12" s="1"/>
  <c r="N8" i="12" s="1"/>
  <c r="M12" i="11"/>
  <c r="P22" i="11"/>
  <c r="P41" i="10"/>
  <c r="M9" i="18"/>
  <c r="P11" i="18"/>
  <c r="P53" i="13"/>
  <c r="P74" i="12"/>
  <c r="M68" i="12"/>
  <c r="L636" i="11"/>
  <c r="O636" i="11" s="1"/>
  <c r="O638" i="11"/>
  <c r="N12" i="9"/>
  <c r="N10" i="9" s="1"/>
  <c r="N20" i="9"/>
  <c r="N18" i="9" s="1"/>
  <c r="N11" i="9"/>
  <c r="N9" i="9" s="1"/>
  <c r="N29" i="9"/>
  <c r="N28" i="9" s="1"/>
  <c r="N53" i="12"/>
  <c r="O53" i="12" s="1"/>
  <c r="P41" i="9"/>
  <c r="M331" i="7"/>
  <c r="P337" i="7"/>
  <c r="L14" i="10"/>
  <c r="O14" i="10" s="1"/>
  <c r="O24" i="10"/>
  <c r="P11" i="8"/>
  <c r="M9" i="8"/>
  <c r="O43" i="7"/>
  <c r="L41" i="7"/>
  <c r="P22" i="7"/>
  <c r="M12" i="7"/>
  <c r="P43" i="10"/>
  <c r="O23" i="5"/>
  <c r="L13" i="5"/>
  <c r="O13" i="5" s="1"/>
  <c r="P22" i="4"/>
  <c r="M12" i="4"/>
  <c r="L271" i="3"/>
  <c r="O271" i="3" s="1"/>
  <c r="O273" i="3"/>
  <c r="O222" i="7"/>
  <c r="L220" i="7"/>
  <c r="O220" i="7" s="1"/>
  <c r="P102" i="5"/>
  <c r="M26" i="5"/>
  <c r="P41" i="5"/>
  <c r="L30" i="6"/>
  <c r="O32" i="6"/>
  <c r="O222" i="5"/>
  <c r="L220" i="5"/>
  <c r="O220" i="5" s="1"/>
  <c r="N12" i="3"/>
  <c r="N10" i="3" s="1"/>
  <c r="N20" i="3"/>
  <c r="N18" i="3" s="1"/>
  <c r="N96" i="1"/>
  <c r="L19" i="1"/>
  <c r="O21" i="1"/>
  <c r="L14" i="2"/>
  <c r="O14" i="2" s="1"/>
  <c r="N94" i="2"/>
  <c r="O312" i="17"/>
  <c r="L310" i="17"/>
  <c r="O310" i="17" s="1"/>
  <c r="O41" i="5"/>
  <c r="O351" i="1"/>
  <c r="L31" i="1"/>
  <c r="L11" i="1" s="1"/>
  <c r="L26" i="1"/>
  <c r="O142" i="16" l="1"/>
  <c r="N37" i="6"/>
  <c r="L12" i="5"/>
  <c r="L10" i="5" s="1"/>
  <c r="O10" i="5" s="1"/>
  <c r="L118" i="2"/>
  <c r="O118" i="2" s="1"/>
  <c r="O292" i="13"/>
  <c r="N8" i="14"/>
  <c r="O273" i="2"/>
  <c r="P53" i="17"/>
  <c r="O11" i="16"/>
  <c r="O55" i="9"/>
  <c r="O252" i="8"/>
  <c r="O142" i="8"/>
  <c r="O220" i="12"/>
  <c r="L118" i="5"/>
  <c r="O118" i="5" s="1"/>
  <c r="N8" i="17"/>
  <c r="P41" i="13"/>
  <c r="O222" i="3"/>
  <c r="L271" i="9"/>
  <c r="O271" i="9" s="1"/>
  <c r="O331" i="4"/>
  <c r="L310" i="13"/>
  <c r="O310" i="13" s="1"/>
  <c r="L118" i="12"/>
  <c r="O118" i="12" s="1"/>
  <c r="N37" i="13"/>
  <c r="L12" i="8"/>
  <c r="O12" i="8" s="1"/>
  <c r="L66" i="7"/>
  <c r="O66" i="7" s="1"/>
  <c r="O222" i="12"/>
  <c r="O22" i="8"/>
  <c r="N250" i="1"/>
  <c r="L290" i="8"/>
  <c r="O290" i="8" s="1"/>
  <c r="N8" i="5"/>
  <c r="N37" i="8"/>
  <c r="L271" i="12"/>
  <c r="O271" i="12" s="1"/>
  <c r="P312" i="1"/>
  <c r="O120" i="13"/>
  <c r="L310" i="16"/>
  <c r="O310" i="16" s="1"/>
  <c r="P118" i="16"/>
  <c r="L220" i="6"/>
  <c r="O220" i="6" s="1"/>
  <c r="N118" i="1"/>
  <c r="L53" i="8"/>
  <c r="O53" i="8" s="1"/>
  <c r="L94" i="15"/>
  <c r="O94" i="15" s="1"/>
  <c r="O118" i="16"/>
  <c r="O68" i="4"/>
  <c r="N290" i="1"/>
  <c r="O273" i="10"/>
  <c r="L140" i="18"/>
  <c r="O140" i="18" s="1"/>
  <c r="O292" i="11"/>
  <c r="L250" i="10"/>
  <c r="O250" i="10" s="1"/>
  <c r="L271" i="16"/>
  <c r="O271" i="16" s="1"/>
  <c r="P20" i="8"/>
  <c r="O96" i="17"/>
  <c r="L9" i="13"/>
  <c r="O9" i="13" s="1"/>
  <c r="O273" i="11"/>
  <c r="L140" i="13"/>
  <c r="O140" i="13" s="1"/>
  <c r="L250" i="11"/>
  <c r="O250" i="11" s="1"/>
  <c r="L329" i="14"/>
  <c r="O329" i="14" s="1"/>
  <c r="N8" i="16"/>
  <c r="M20" i="12"/>
  <c r="P20" i="12" s="1"/>
  <c r="M16" i="12"/>
  <c r="P16" i="12" s="1"/>
  <c r="L271" i="17"/>
  <c r="O271" i="17" s="1"/>
  <c r="L250" i="14"/>
  <c r="O250" i="14" s="1"/>
  <c r="L310" i="12"/>
  <c r="O310" i="12" s="1"/>
  <c r="O331" i="16"/>
  <c r="L220" i="16"/>
  <c r="O220" i="16" s="1"/>
  <c r="O68" i="10"/>
  <c r="O310" i="4"/>
  <c r="L250" i="18"/>
  <c r="O250" i="18" s="1"/>
  <c r="O11" i="8"/>
  <c r="P273" i="1"/>
  <c r="L250" i="6"/>
  <c r="O250" i="6" s="1"/>
  <c r="O14" i="8"/>
  <c r="L118" i="9"/>
  <c r="O118" i="9" s="1"/>
  <c r="L118" i="8"/>
  <c r="O118" i="8" s="1"/>
  <c r="L220" i="18"/>
  <c r="O220" i="18" s="1"/>
  <c r="L310" i="8"/>
  <c r="O310" i="8" s="1"/>
  <c r="L290" i="14"/>
  <c r="O290" i="14" s="1"/>
  <c r="N8" i="3"/>
  <c r="N8" i="13"/>
  <c r="L290" i="12"/>
  <c r="O290" i="12" s="1"/>
  <c r="P53" i="7"/>
  <c r="P292" i="1"/>
  <c r="L118" i="7"/>
  <c r="O118" i="7" s="1"/>
  <c r="L66" i="12"/>
  <c r="O66" i="12" s="1"/>
  <c r="O273" i="6"/>
  <c r="L250" i="12"/>
  <c r="O250" i="12" s="1"/>
  <c r="L94" i="2"/>
  <c r="O94" i="2" s="1"/>
  <c r="L28" i="3"/>
  <c r="O28" i="3" s="1"/>
  <c r="O68" i="18"/>
  <c r="L12" i="11"/>
  <c r="O12" i="11" s="1"/>
  <c r="L220" i="13"/>
  <c r="O220" i="13" s="1"/>
  <c r="L118" i="14"/>
  <c r="O118" i="14" s="1"/>
  <c r="L290" i="18"/>
  <c r="O290" i="18" s="1"/>
  <c r="L329" i="17"/>
  <c r="O329" i="17" s="1"/>
  <c r="L41" i="17"/>
  <c r="O41" i="17" s="1"/>
  <c r="N8" i="8"/>
  <c r="L220" i="14"/>
  <c r="O220" i="14" s="1"/>
  <c r="O68" i="11"/>
  <c r="L20" i="3"/>
  <c r="O20" i="3" s="1"/>
  <c r="L12" i="7"/>
  <c r="O12" i="7" s="1"/>
  <c r="O43" i="6"/>
  <c r="O638" i="3"/>
  <c r="L53" i="16"/>
  <c r="O53" i="16" s="1"/>
  <c r="O22" i="7"/>
  <c r="L290" i="4"/>
  <c r="O290" i="4" s="1"/>
  <c r="O120" i="6"/>
  <c r="L310" i="3"/>
  <c r="O310" i="3" s="1"/>
  <c r="O292" i="10"/>
  <c r="P252" i="1"/>
  <c r="L41" i="8"/>
  <c r="O41" i="8" s="1"/>
  <c r="L53" i="14"/>
  <c r="O53" i="14" s="1"/>
  <c r="L14" i="1"/>
  <c r="O14" i="1" s="1"/>
  <c r="O53" i="2"/>
  <c r="L9" i="6"/>
  <c r="O9" i="6" s="1"/>
  <c r="O22" i="13"/>
  <c r="L20" i="5"/>
  <c r="O20" i="5" s="1"/>
  <c r="O252" i="16"/>
  <c r="N8" i="11"/>
  <c r="O271" i="15"/>
  <c r="L250" i="3"/>
  <c r="O250" i="3" s="1"/>
  <c r="L12" i="4"/>
  <c r="O12" i="4" s="1"/>
  <c r="P22" i="1"/>
  <c r="L220" i="10"/>
  <c r="O220" i="10" s="1"/>
  <c r="L94" i="16"/>
  <c r="O94" i="16" s="1"/>
  <c r="N37" i="11"/>
  <c r="O120" i="3"/>
  <c r="L118" i="3"/>
  <c r="O118" i="3" s="1"/>
  <c r="L66" i="6"/>
  <c r="O66" i="6" s="1"/>
  <c r="O312" i="11"/>
  <c r="L310" i="11"/>
  <c r="O310" i="11" s="1"/>
  <c r="O292" i="7"/>
  <c r="L290" i="7"/>
  <c r="O290" i="7" s="1"/>
  <c r="L118" i="4"/>
  <c r="O118" i="4" s="1"/>
  <c r="P220" i="11"/>
  <c r="O252" i="5"/>
  <c r="L250" i="5"/>
  <c r="O250" i="5" s="1"/>
  <c r="L12" i="2"/>
  <c r="O12" i="2" s="1"/>
  <c r="L329" i="8"/>
  <c r="O329" i="8" s="1"/>
  <c r="L41" i="11"/>
  <c r="O41" i="11" s="1"/>
  <c r="O22" i="2"/>
  <c r="L20" i="4"/>
  <c r="L18" i="4" s="1"/>
  <c r="O18" i="4" s="1"/>
  <c r="L9" i="10"/>
  <c r="O9" i="10" s="1"/>
  <c r="P20" i="15"/>
  <c r="L20" i="15"/>
  <c r="O20" i="15" s="1"/>
  <c r="O22" i="11"/>
  <c r="L140" i="3"/>
  <c r="O140" i="3" s="1"/>
  <c r="O14" i="14"/>
  <c r="L12" i="15"/>
  <c r="L10" i="15" s="1"/>
  <c r="O10" i="15" s="1"/>
  <c r="N8" i="2"/>
  <c r="L142" i="1"/>
  <c r="O142" i="1" s="1"/>
  <c r="L68" i="1"/>
  <c r="O68" i="1" s="1"/>
  <c r="L12" i="6"/>
  <c r="L10" i="6" s="1"/>
  <c r="L20" i="6"/>
  <c r="O20" i="6" s="1"/>
  <c r="O22" i="3"/>
  <c r="N329" i="1"/>
  <c r="O310" i="18"/>
  <c r="P329" i="13"/>
  <c r="L41" i="16"/>
  <c r="O41" i="16" s="1"/>
  <c r="N11" i="1"/>
  <c r="N9" i="1" s="1"/>
  <c r="N28" i="1"/>
  <c r="O329" i="13"/>
  <c r="O22" i="16"/>
  <c r="M20" i="11"/>
  <c r="M18" i="11" s="1"/>
  <c r="P18" i="11" s="1"/>
  <c r="N310" i="1"/>
  <c r="L94" i="11"/>
  <c r="O94" i="11" s="1"/>
  <c r="L120" i="1"/>
  <c r="O120" i="1" s="1"/>
  <c r="M16" i="11"/>
  <c r="P16" i="11" s="1"/>
  <c r="N8" i="7"/>
  <c r="L28" i="2"/>
  <c r="O28" i="2" s="1"/>
  <c r="O273" i="4"/>
  <c r="L271" i="4"/>
  <c r="O271" i="4" s="1"/>
  <c r="O55" i="18"/>
  <c r="L53" i="18"/>
  <c r="O53" i="18" s="1"/>
  <c r="P20" i="6"/>
  <c r="P18" i="6"/>
  <c r="O220" i="4"/>
  <c r="O94" i="6"/>
  <c r="N8" i="4"/>
  <c r="O292" i="3"/>
  <c r="L290" i="3"/>
  <c r="O290" i="3" s="1"/>
  <c r="N94" i="1"/>
  <c r="P120" i="1"/>
  <c r="L12" i="13"/>
  <c r="L10" i="13" s="1"/>
  <c r="O10" i="13" s="1"/>
  <c r="P140" i="3"/>
  <c r="O331" i="9"/>
  <c r="L329" i="9"/>
  <c r="O329" i="9" s="1"/>
  <c r="L96" i="1"/>
  <c r="O96" i="1" s="1"/>
  <c r="M290" i="1"/>
  <c r="L140" i="9"/>
  <c r="O140" i="9" s="1"/>
  <c r="L220" i="9"/>
  <c r="O220" i="9" s="1"/>
  <c r="O222" i="9"/>
  <c r="N37" i="17"/>
  <c r="L331" i="1"/>
  <c r="O331" i="1" s="1"/>
  <c r="P43" i="12"/>
  <c r="O120" i="10"/>
  <c r="L118" i="10"/>
  <c r="O118" i="10" s="1"/>
  <c r="O252" i="4"/>
  <c r="L250" i="4"/>
  <c r="O250" i="4" s="1"/>
  <c r="L273" i="1"/>
  <c r="O273" i="1" s="1"/>
  <c r="N37" i="14"/>
  <c r="L20" i="16"/>
  <c r="L18" i="16" s="1"/>
  <c r="O18" i="16" s="1"/>
  <c r="N8" i="10"/>
  <c r="N8" i="15"/>
  <c r="L271" i="5"/>
  <c r="O271" i="5" s="1"/>
  <c r="P20" i="2"/>
  <c r="M250" i="1"/>
  <c r="O96" i="18"/>
  <c r="L94" i="18"/>
  <c r="O94" i="18" s="1"/>
  <c r="O120" i="15"/>
  <c r="L118" i="15"/>
  <c r="O118" i="15" s="1"/>
  <c r="O120" i="11"/>
  <c r="L118" i="11"/>
  <c r="O118" i="11" s="1"/>
  <c r="L94" i="9"/>
  <c r="O94" i="9" s="1"/>
  <c r="O96" i="5"/>
  <c r="L94" i="5"/>
  <c r="O94" i="5" s="1"/>
  <c r="O120" i="18"/>
  <c r="L118" i="18"/>
  <c r="O118" i="18" s="1"/>
  <c r="O142" i="7"/>
  <c r="L140" i="7"/>
  <c r="O140" i="7" s="1"/>
  <c r="P18" i="3"/>
  <c r="N220" i="1"/>
  <c r="L250" i="9"/>
  <c r="O250" i="9" s="1"/>
  <c r="O252" i="9"/>
  <c r="P12" i="17"/>
  <c r="O20" i="11"/>
  <c r="P271" i="14"/>
  <c r="P222" i="1"/>
  <c r="P331" i="5"/>
  <c r="M329" i="5"/>
  <c r="O68" i="13"/>
  <c r="L66" i="13"/>
  <c r="O66" i="13" s="1"/>
  <c r="P18" i="2"/>
  <c r="N10" i="18"/>
  <c r="N8" i="18" s="1"/>
  <c r="P331" i="11"/>
  <c r="M329" i="11"/>
  <c r="P329" i="11" s="1"/>
  <c r="L66" i="15"/>
  <c r="O66" i="15" s="1"/>
  <c r="O68" i="15"/>
  <c r="P9" i="8"/>
  <c r="L43" i="1"/>
  <c r="L22" i="1"/>
  <c r="O45" i="1"/>
  <c r="O640" i="1"/>
  <c r="L638" i="1"/>
  <c r="P49" i="1"/>
  <c r="M43" i="1"/>
  <c r="M26" i="1"/>
  <c r="O31" i="1"/>
  <c r="L29" i="1"/>
  <c r="O19" i="1"/>
  <c r="P26" i="5"/>
  <c r="M16" i="5"/>
  <c r="P16" i="5" s="1"/>
  <c r="P9" i="18"/>
  <c r="P12" i="8"/>
  <c r="L18" i="11"/>
  <c r="O18" i="11" s="1"/>
  <c r="L55" i="1"/>
  <c r="O57" i="1"/>
  <c r="P12" i="13"/>
  <c r="M10" i="13"/>
  <c r="P10" i="13" s="1"/>
  <c r="L636" i="12"/>
  <c r="O636" i="12" s="1"/>
  <c r="O638" i="12"/>
  <c r="O22" i="14"/>
  <c r="L12" i="14"/>
  <c r="L20" i="14"/>
  <c r="P329" i="15"/>
  <c r="P20" i="9"/>
  <c r="O273" i="13"/>
  <c r="L271" i="13"/>
  <c r="O638" i="2"/>
  <c r="L636" i="2"/>
  <c r="O636" i="2" s="1"/>
  <c r="P53" i="12"/>
  <c r="O32" i="1"/>
  <c r="L30" i="1"/>
  <c r="O30" i="1" s="1"/>
  <c r="O312" i="2"/>
  <c r="L312" i="1"/>
  <c r="O312" i="1" s="1"/>
  <c r="L310" i="2"/>
  <c r="O41" i="2"/>
  <c r="L28" i="5"/>
  <c r="O28" i="5" s="1"/>
  <c r="O29" i="5"/>
  <c r="L636" i="7"/>
  <c r="O636" i="7" s="1"/>
  <c r="O638" i="7"/>
  <c r="O22" i="9"/>
  <c r="L12" i="9"/>
  <c r="L20" i="9"/>
  <c r="P20" i="14"/>
  <c r="M18" i="14"/>
  <c r="P18" i="14" s="1"/>
  <c r="N37" i="15"/>
  <c r="N28" i="17"/>
  <c r="O30" i="17"/>
  <c r="L12" i="18"/>
  <c r="L20" i="18"/>
  <c r="O22" i="18"/>
  <c r="N37" i="18"/>
  <c r="O271" i="18"/>
  <c r="N37" i="12"/>
  <c r="M118" i="1"/>
  <c r="O9" i="7"/>
  <c r="O53" i="11"/>
  <c r="O68" i="9"/>
  <c r="L66" i="9"/>
  <c r="P41" i="16"/>
  <c r="M37" i="16"/>
  <c r="P37" i="16" s="1"/>
  <c r="O34" i="1"/>
  <c r="P26" i="18"/>
  <c r="M16" i="18"/>
  <c r="P16" i="18" s="1"/>
  <c r="L28" i="16"/>
  <c r="O28" i="16" s="1"/>
  <c r="P96" i="4"/>
  <c r="M96" i="1"/>
  <c r="P96" i="1" s="1"/>
  <c r="M94" i="4"/>
  <c r="O29" i="14"/>
  <c r="L28" i="14"/>
  <c r="O28" i="14" s="1"/>
  <c r="O9" i="18"/>
  <c r="O12" i="3"/>
  <c r="L10" i="3"/>
  <c r="O10" i="3" s="1"/>
  <c r="M16" i="16"/>
  <c r="P16" i="16" s="1"/>
  <c r="P26" i="16"/>
  <c r="P9" i="3"/>
  <c r="P43" i="8"/>
  <c r="M41" i="8"/>
  <c r="P12" i="2"/>
  <c r="M10" i="2"/>
  <c r="P10" i="2" s="1"/>
  <c r="M8" i="6"/>
  <c r="P9" i="6"/>
  <c r="O20" i="7"/>
  <c r="L18" i="7"/>
  <c r="O18" i="7" s="1"/>
  <c r="O55" i="10"/>
  <c r="L53" i="10"/>
  <c r="O53" i="10" s="1"/>
  <c r="O29" i="9"/>
  <c r="L28" i="9"/>
  <c r="O28" i="9" s="1"/>
  <c r="L636" i="10"/>
  <c r="O636" i="10" s="1"/>
  <c r="O638" i="10"/>
  <c r="P20" i="13"/>
  <c r="M18" i="13"/>
  <c r="P18" i="13" s="1"/>
  <c r="O43" i="14"/>
  <c r="L41" i="14"/>
  <c r="P12" i="15"/>
  <c r="P12" i="9"/>
  <c r="O41" i="10"/>
  <c r="M37" i="3"/>
  <c r="P37" i="3" s="1"/>
  <c r="O96" i="8"/>
  <c r="L94" i="8"/>
  <c r="P331" i="12"/>
  <c r="M329" i="12"/>
  <c r="P329" i="12" s="1"/>
  <c r="O11" i="12"/>
  <c r="L9" i="12"/>
  <c r="P9" i="5"/>
  <c r="P68" i="10"/>
  <c r="M66" i="10"/>
  <c r="N12" i="1"/>
  <c r="N10" i="1" s="1"/>
  <c r="N20" i="1"/>
  <c r="N18" i="1" s="1"/>
  <c r="O11" i="11"/>
  <c r="L9" i="11"/>
  <c r="O43" i="12"/>
  <c r="L41" i="12"/>
  <c r="P12" i="14"/>
  <c r="M10" i="14"/>
  <c r="P10" i="14" s="1"/>
  <c r="M20" i="16"/>
  <c r="O11" i="17"/>
  <c r="L9" i="17"/>
  <c r="P331" i="9"/>
  <c r="M329" i="9"/>
  <c r="M20" i="18"/>
  <c r="N10" i="6"/>
  <c r="P12" i="6"/>
  <c r="O30" i="7"/>
  <c r="L28" i="7"/>
  <c r="O28" i="7" s="1"/>
  <c r="P26" i="7"/>
  <c r="M16" i="7"/>
  <c r="P16" i="7" s="1"/>
  <c r="N37" i="7"/>
  <c r="P9" i="12"/>
  <c r="P331" i="18"/>
  <c r="M329" i="18"/>
  <c r="P329" i="18" s="1"/>
  <c r="P26" i="4"/>
  <c r="M16" i="4"/>
  <c r="P16" i="4" s="1"/>
  <c r="P12" i="10"/>
  <c r="M18" i="8"/>
  <c r="P18" i="8" s="1"/>
  <c r="P12" i="16"/>
  <c r="M20" i="4"/>
  <c r="O20" i="13"/>
  <c r="L18" i="13"/>
  <c r="O18" i="13" s="1"/>
  <c r="P12" i="12"/>
  <c r="P26" i="8"/>
  <c r="M16" i="8"/>
  <c r="P16" i="8" s="1"/>
  <c r="P43" i="17"/>
  <c r="M41" i="17"/>
  <c r="P9" i="4"/>
  <c r="P26" i="10"/>
  <c r="M16" i="10"/>
  <c r="P16" i="10" s="1"/>
  <c r="P66" i="2"/>
  <c r="M37" i="2"/>
  <c r="O96" i="7"/>
  <c r="L94" i="7"/>
  <c r="P55" i="1"/>
  <c r="M53" i="1"/>
  <c r="P53" i="1" s="1"/>
  <c r="P94" i="6"/>
  <c r="M37" i="6"/>
  <c r="P37" i="6" s="1"/>
  <c r="P18" i="9"/>
  <c r="L28" i="11"/>
  <c r="O28" i="11" s="1"/>
  <c r="O29" i="11"/>
  <c r="P9" i="10"/>
  <c r="O22" i="12"/>
  <c r="L20" i="12"/>
  <c r="L12" i="12"/>
  <c r="O12" i="16"/>
  <c r="L10" i="16"/>
  <c r="O10" i="16" s="1"/>
  <c r="O41" i="6"/>
  <c r="P26" i="9"/>
  <c r="M16" i="9"/>
  <c r="P16" i="9" s="1"/>
  <c r="O66" i="2"/>
  <c r="P12" i="18"/>
  <c r="O29" i="4"/>
  <c r="L28" i="4"/>
  <c r="O28" i="4" s="1"/>
  <c r="O638" i="8"/>
  <c r="L636" i="8"/>
  <c r="O636" i="8" s="1"/>
  <c r="O29" i="15"/>
  <c r="L28" i="15"/>
  <c r="O28" i="15" s="1"/>
  <c r="M37" i="13"/>
  <c r="L13" i="1"/>
  <c r="O13" i="1" s="1"/>
  <c r="P9" i="15"/>
  <c r="O638" i="14"/>
  <c r="L636" i="14"/>
  <c r="O636" i="14" s="1"/>
  <c r="P9" i="2"/>
  <c r="P9" i="9"/>
  <c r="P142" i="15"/>
  <c r="M140" i="15"/>
  <c r="P140" i="15" s="1"/>
  <c r="O9" i="16"/>
  <c r="O43" i="18"/>
  <c r="L41" i="18"/>
  <c r="O29" i="17"/>
  <c r="L28" i="17"/>
  <c r="O30" i="6"/>
  <c r="L28" i="6"/>
  <c r="O28" i="6" s="1"/>
  <c r="O9" i="8"/>
  <c r="P12" i="4"/>
  <c r="P68" i="12"/>
  <c r="M66" i="12"/>
  <c r="N37" i="2"/>
  <c r="P331" i="4"/>
  <c r="M329" i="4"/>
  <c r="O9" i="3"/>
  <c r="O22" i="17"/>
  <c r="L12" i="17"/>
  <c r="L20" i="17"/>
  <c r="O292" i="2"/>
  <c r="L292" i="1"/>
  <c r="O292" i="1" s="1"/>
  <c r="L290" i="2"/>
  <c r="P20" i="3"/>
  <c r="O329" i="15"/>
  <c r="L16" i="1"/>
  <c r="O16" i="1" s="1"/>
  <c r="O26" i="1"/>
  <c r="P271" i="7"/>
  <c r="O41" i="7"/>
  <c r="N8" i="9"/>
  <c r="L28" i="13"/>
  <c r="O28" i="13" s="1"/>
  <c r="M37" i="14"/>
  <c r="P9" i="16"/>
  <c r="O9" i="15"/>
  <c r="O638" i="17"/>
  <c r="L636" i="17"/>
  <c r="O636" i="17" s="1"/>
  <c r="O20" i="2"/>
  <c r="L18" i="2"/>
  <c r="O18" i="2" s="1"/>
  <c r="N37" i="4"/>
  <c r="P41" i="4"/>
  <c r="O9" i="2"/>
  <c r="P220" i="3"/>
  <c r="M220" i="1"/>
  <c r="P310" i="7"/>
  <c r="M310" i="1"/>
  <c r="O22" i="10"/>
  <c r="L12" i="10"/>
  <c r="L20" i="10"/>
  <c r="O20" i="8"/>
  <c r="L18" i="8"/>
  <c r="O18" i="8" s="1"/>
  <c r="P9" i="13"/>
  <c r="P9" i="14"/>
  <c r="O329" i="2"/>
  <c r="M20" i="5"/>
  <c r="O30" i="8"/>
  <c r="L28" i="8"/>
  <c r="O28" i="8" s="1"/>
  <c r="O252" i="17"/>
  <c r="L250" i="17"/>
  <c r="P12" i="3"/>
  <c r="M10" i="3"/>
  <c r="P10" i="3" s="1"/>
  <c r="P9" i="11"/>
  <c r="O29" i="12"/>
  <c r="L28" i="12"/>
  <c r="O28" i="12" s="1"/>
  <c r="O140" i="17"/>
  <c r="O29" i="18"/>
  <c r="L28" i="18"/>
  <c r="O28" i="18" s="1"/>
  <c r="P9" i="1"/>
  <c r="M331" i="1"/>
  <c r="P331" i="1" s="1"/>
  <c r="P43" i="7"/>
  <c r="M41" i="7"/>
  <c r="O11" i="14"/>
  <c r="L9" i="14"/>
  <c r="M68" i="1"/>
  <c r="P68" i="1" s="1"/>
  <c r="O9" i="5"/>
  <c r="N271" i="1"/>
  <c r="P12" i="7"/>
  <c r="O222" i="2"/>
  <c r="L222" i="1"/>
  <c r="O222" i="1" s="1"/>
  <c r="L220" i="2"/>
  <c r="P96" i="7"/>
  <c r="M94" i="7"/>
  <c r="P94" i="7" s="1"/>
  <c r="N636" i="15"/>
  <c r="O636" i="15" s="1"/>
  <c r="O638" i="15"/>
  <c r="O11" i="1"/>
  <c r="L9" i="1"/>
  <c r="P20" i="7"/>
  <c r="M18" i="7"/>
  <c r="P18" i="7" s="1"/>
  <c r="P331" i="7"/>
  <c r="M329" i="7"/>
  <c r="P329" i="7" s="1"/>
  <c r="P12" i="11"/>
  <c r="M142" i="1"/>
  <c r="P142" i="1" s="1"/>
  <c r="L636" i="5"/>
  <c r="O636" i="5" s="1"/>
  <c r="O638" i="5"/>
  <c r="L9" i="9"/>
  <c r="O11" i="9"/>
  <c r="P12" i="5"/>
  <c r="P9" i="7"/>
  <c r="O53" i="5"/>
  <c r="O638" i="13"/>
  <c r="L636" i="13"/>
  <c r="O636" i="13" s="1"/>
  <c r="M20" i="10"/>
  <c r="L28" i="10"/>
  <c r="O28" i="10" s="1"/>
  <c r="O30" i="10"/>
  <c r="O140" i="2"/>
  <c r="O638" i="16"/>
  <c r="L636" i="16"/>
  <c r="O636" i="16" s="1"/>
  <c r="P41" i="15"/>
  <c r="M16" i="15"/>
  <c r="P16" i="15" s="1"/>
  <c r="P26" i="15"/>
  <c r="O252" i="2"/>
  <c r="L252" i="1"/>
  <c r="O252" i="1" s="1"/>
  <c r="L250" i="2"/>
  <c r="O11" i="4"/>
  <c r="L9" i="4"/>
  <c r="M18" i="15"/>
  <c r="P18" i="15" s="1"/>
  <c r="P26" i="17"/>
  <c r="M16" i="17"/>
  <c r="M20" i="17"/>
  <c r="P41" i="18"/>
  <c r="O41" i="4"/>
  <c r="N140" i="1"/>
  <c r="M271" i="1"/>
  <c r="O12" i="5" l="1"/>
  <c r="L10" i="8"/>
  <c r="O10" i="8" s="1"/>
  <c r="M18" i="12"/>
  <c r="P18" i="12" s="1"/>
  <c r="P37" i="13"/>
  <c r="P250" i="1"/>
  <c r="P290" i="1"/>
  <c r="P118" i="1"/>
  <c r="L18" i="15"/>
  <c r="O18" i="15" s="1"/>
  <c r="L10" i="11"/>
  <c r="O10" i="11" s="1"/>
  <c r="L10" i="4"/>
  <c r="O10" i="4" s="1"/>
  <c r="M10" i="12"/>
  <c r="P10" i="12" s="1"/>
  <c r="O12" i="6"/>
  <c r="O12" i="15"/>
  <c r="L10" i="7"/>
  <c r="O10" i="7" s="1"/>
  <c r="L37" i="6"/>
  <c r="O37" i="6" s="1"/>
  <c r="P20" i="11"/>
  <c r="M10" i="11"/>
  <c r="P10" i="11" s="1"/>
  <c r="P12" i="1"/>
  <c r="L18" i="3"/>
  <c r="O18" i="3" s="1"/>
  <c r="L18" i="5"/>
  <c r="O18" i="5" s="1"/>
  <c r="L10" i="2"/>
  <c r="O10" i="2" s="1"/>
  <c r="M8" i="13"/>
  <c r="P8" i="13" s="1"/>
  <c r="O20" i="4"/>
  <c r="L37" i="16"/>
  <c r="O37" i="16" s="1"/>
  <c r="L18" i="6"/>
  <c r="O18" i="6" s="1"/>
  <c r="L37" i="3"/>
  <c r="O37" i="3" s="1"/>
  <c r="P310" i="1"/>
  <c r="L66" i="1"/>
  <c r="O66" i="1" s="1"/>
  <c r="O12" i="13"/>
  <c r="M10" i="5"/>
  <c r="P10" i="5" s="1"/>
  <c r="M37" i="11"/>
  <c r="P37" i="11" s="1"/>
  <c r="P220" i="1"/>
  <c r="L140" i="1"/>
  <c r="O140" i="1" s="1"/>
  <c r="L8" i="15"/>
  <c r="O8" i="15" s="1"/>
  <c r="L37" i="7"/>
  <c r="O37" i="7" s="1"/>
  <c r="L37" i="10"/>
  <c r="O37" i="10" s="1"/>
  <c r="M66" i="1"/>
  <c r="P66" i="1" s="1"/>
  <c r="N8" i="1"/>
  <c r="L8" i="13"/>
  <c r="O8" i="13" s="1"/>
  <c r="M10" i="7"/>
  <c r="P10" i="7" s="1"/>
  <c r="L8" i="5"/>
  <c r="O8" i="5" s="1"/>
  <c r="L271" i="1"/>
  <c r="O271" i="1" s="1"/>
  <c r="M37" i="15"/>
  <c r="P37" i="15" s="1"/>
  <c r="P37" i="14"/>
  <c r="L8" i="2"/>
  <c r="O8" i="2" s="1"/>
  <c r="L329" i="1"/>
  <c r="O329" i="1" s="1"/>
  <c r="L37" i="11"/>
  <c r="O37" i="11" s="1"/>
  <c r="P37" i="2"/>
  <c r="M140" i="1"/>
  <c r="P140" i="1" s="1"/>
  <c r="M10" i="18"/>
  <c r="P10" i="18" s="1"/>
  <c r="O20" i="16"/>
  <c r="N37" i="1"/>
  <c r="L37" i="5"/>
  <c r="O37" i="5" s="1"/>
  <c r="L37" i="15"/>
  <c r="O37" i="15" s="1"/>
  <c r="L8" i="16"/>
  <c r="O8" i="16" s="1"/>
  <c r="L37" i="4"/>
  <c r="O37" i="4" s="1"/>
  <c r="M37" i="18"/>
  <c r="P37" i="18" s="1"/>
  <c r="L118" i="1"/>
  <c r="O118" i="1" s="1"/>
  <c r="M10" i="16"/>
  <c r="P10" i="16" s="1"/>
  <c r="M10" i="8"/>
  <c r="P10" i="8" s="1"/>
  <c r="P329" i="5"/>
  <c r="M37" i="5"/>
  <c r="P37" i="5" s="1"/>
  <c r="M8" i="2"/>
  <c r="P8" i="2" s="1"/>
  <c r="M10" i="10"/>
  <c r="P10" i="10" s="1"/>
  <c r="O9" i="14"/>
  <c r="L290" i="1"/>
  <c r="O290" i="1" s="1"/>
  <c r="O290" i="2"/>
  <c r="O12" i="12"/>
  <c r="L10" i="12"/>
  <c r="O10" i="12" s="1"/>
  <c r="O94" i="7"/>
  <c r="L94" i="1"/>
  <c r="O94" i="1" s="1"/>
  <c r="M8" i="5"/>
  <c r="P8" i="5" s="1"/>
  <c r="L37" i="14"/>
  <c r="O37" i="14" s="1"/>
  <c r="O41" i="14"/>
  <c r="M8" i="3"/>
  <c r="P8" i="3" s="1"/>
  <c r="O310" i="2"/>
  <c r="L310" i="1"/>
  <c r="O310" i="1" s="1"/>
  <c r="O20" i="14"/>
  <c r="L18" i="14"/>
  <c r="O18" i="14" s="1"/>
  <c r="P26" i="1"/>
  <c r="M16" i="1"/>
  <c r="M20" i="1"/>
  <c r="L12" i="1"/>
  <c r="O22" i="1"/>
  <c r="L20" i="1"/>
  <c r="P20" i="10"/>
  <c r="M18" i="10"/>
  <c r="P18" i="10" s="1"/>
  <c r="O220" i="2"/>
  <c r="L220" i="1"/>
  <c r="O220" i="1" s="1"/>
  <c r="M8" i="14"/>
  <c r="P8" i="14" s="1"/>
  <c r="L8" i="3"/>
  <c r="O8" i="3" s="1"/>
  <c r="M10" i="4"/>
  <c r="O28" i="17"/>
  <c r="O20" i="12"/>
  <c r="L18" i="12"/>
  <c r="O18" i="12" s="1"/>
  <c r="P20" i="4"/>
  <c r="M18" i="4"/>
  <c r="P18" i="4" s="1"/>
  <c r="O9" i="17"/>
  <c r="O9" i="12"/>
  <c r="O66" i="9"/>
  <c r="L37" i="9"/>
  <c r="O37" i="9" s="1"/>
  <c r="O20" i="18"/>
  <c r="L18" i="18"/>
  <c r="O18" i="18" s="1"/>
  <c r="L10" i="14"/>
  <c r="O10" i="14" s="1"/>
  <c r="O12" i="14"/>
  <c r="P43" i="1"/>
  <c r="M41" i="1"/>
  <c r="O43" i="1"/>
  <c r="L41" i="1"/>
  <c r="P329" i="4"/>
  <c r="M329" i="1"/>
  <c r="P329" i="1" s="1"/>
  <c r="L37" i="12"/>
  <c r="O37" i="12" s="1"/>
  <c r="O41" i="12"/>
  <c r="L10" i="18"/>
  <c r="O12" i="18"/>
  <c r="O271" i="13"/>
  <c r="L37" i="13"/>
  <c r="O37" i="13" s="1"/>
  <c r="O55" i="1"/>
  <c r="L53" i="1"/>
  <c r="O53" i="1" s="1"/>
  <c r="P41" i="7"/>
  <c r="M37" i="7"/>
  <c r="P37" i="7" s="1"/>
  <c r="O9" i="4"/>
  <c r="O9" i="9"/>
  <c r="P20" i="5"/>
  <c r="M18" i="5"/>
  <c r="P18" i="5" s="1"/>
  <c r="O20" i="10"/>
  <c r="L18" i="10"/>
  <c r="O18" i="10" s="1"/>
  <c r="O20" i="17"/>
  <c r="L18" i="17"/>
  <c r="O18" i="17" s="1"/>
  <c r="L37" i="18"/>
  <c r="O37" i="18" s="1"/>
  <c r="O41" i="18"/>
  <c r="P10" i="6"/>
  <c r="N8" i="6"/>
  <c r="P8" i="6" s="1"/>
  <c r="P20" i="16"/>
  <c r="M18" i="16"/>
  <c r="P18" i="16" s="1"/>
  <c r="P66" i="10"/>
  <c r="M37" i="10"/>
  <c r="P37" i="10" s="1"/>
  <c r="M10" i="9"/>
  <c r="O20" i="9"/>
  <c r="L18" i="9"/>
  <c r="O18" i="9" s="1"/>
  <c r="L28" i="1"/>
  <c r="O28" i="1" s="1"/>
  <c r="O29" i="1"/>
  <c r="O638" i="1"/>
  <c r="L636" i="1"/>
  <c r="O636" i="1" s="1"/>
  <c r="O12" i="10"/>
  <c r="L10" i="10"/>
  <c r="L10" i="17"/>
  <c r="O10" i="17" s="1"/>
  <c r="O12" i="17"/>
  <c r="P20" i="18"/>
  <c r="M18" i="18"/>
  <c r="P18" i="18" s="1"/>
  <c r="O9" i="11"/>
  <c r="M10" i="15"/>
  <c r="M37" i="8"/>
  <c r="P37" i="8" s="1"/>
  <c r="P41" i="8"/>
  <c r="P94" i="4"/>
  <c r="M37" i="4"/>
  <c r="P37" i="4" s="1"/>
  <c r="M94" i="1"/>
  <c r="P94" i="1" s="1"/>
  <c r="O12" i="9"/>
  <c r="L10" i="9"/>
  <c r="O10" i="9" s="1"/>
  <c r="L37" i="2"/>
  <c r="O37" i="2" s="1"/>
  <c r="P16" i="17"/>
  <c r="M10" i="17"/>
  <c r="P271" i="1"/>
  <c r="M18" i="17"/>
  <c r="P18" i="17" s="1"/>
  <c r="P20" i="17"/>
  <c r="O250" i="2"/>
  <c r="L250" i="1"/>
  <c r="O250" i="1" s="1"/>
  <c r="O9" i="1"/>
  <c r="O250" i="17"/>
  <c r="L37" i="17"/>
  <c r="O37" i="17" s="1"/>
  <c r="O10" i="6"/>
  <c r="L8" i="6"/>
  <c r="P66" i="12"/>
  <c r="M37" i="12"/>
  <c r="P37" i="12" s="1"/>
  <c r="M37" i="17"/>
  <c r="P37" i="17" s="1"/>
  <c r="P41" i="17"/>
  <c r="P329" i="9"/>
  <c r="M37" i="9"/>
  <c r="P37" i="9" s="1"/>
  <c r="O94" i="8"/>
  <c r="L37" i="8"/>
  <c r="O37" i="8" s="1"/>
  <c r="L8" i="8" l="1"/>
  <c r="O8" i="8" s="1"/>
  <c r="L8" i="11"/>
  <c r="O8" i="11" s="1"/>
  <c r="L8" i="4"/>
  <c r="O8" i="4" s="1"/>
  <c r="M8" i="12"/>
  <c r="P8" i="12" s="1"/>
  <c r="M8" i="11"/>
  <c r="P8" i="11" s="1"/>
  <c r="L8" i="7"/>
  <c r="O8" i="7" s="1"/>
  <c r="M8" i="7"/>
  <c r="P8" i="7" s="1"/>
  <c r="M8" i="16"/>
  <c r="P8" i="16" s="1"/>
  <c r="M8" i="8"/>
  <c r="P8" i="8" s="1"/>
  <c r="M8" i="18"/>
  <c r="P8" i="18" s="1"/>
  <c r="M8" i="10"/>
  <c r="P8" i="10" s="1"/>
  <c r="L8" i="12"/>
  <c r="O8" i="12" s="1"/>
  <c r="O41" i="1"/>
  <c r="L37" i="1"/>
  <c r="O37" i="1" s="1"/>
  <c r="O12" i="1"/>
  <c r="L10" i="1"/>
  <c r="P10" i="17"/>
  <c r="M8" i="17"/>
  <c r="P8" i="17" s="1"/>
  <c r="O10" i="10"/>
  <c r="L8" i="10"/>
  <c r="O8" i="10" s="1"/>
  <c r="P10" i="9"/>
  <c r="M8" i="9"/>
  <c r="P8" i="9" s="1"/>
  <c r="L8" i="9"/>
  <c r="O8" i="9" s="1"/>
  <c r="L8" i="17"/>
  <c r="O8" i="17" s="1"/>
  <c r="P20" i="1"/>
  <c r="M18" i="1"/>
  <c r="P18" i="1" s="1"/>
  <c r="O8" i="6"/>
  <c r="O20" i="1"/>
  <c r="L18" i="1"/>
  <c r="O18" i="1" s="1"/>
  <c r="O10" i="18"/>
  <c r="L8" i="18"/>
  <c r="O8" i="18" s="1"/>
  <c r="L8" i="14"/>
  <c r="O8" i="14" s="1"/>
  <c r="P10" i="15"/>
  <c r="M8" i="15"/>
  <c r="P8" i="15" s="1"/>
  <c r="P41" i="1"/>
  <c r="M37" i="1"/>
  <c r="P37" i="1" s="1"/>
  <c r="P10" i="4"/>
  <c r="M8" i="4"/>
  <c r="P8" i="4" s="1"/>
  <c r="P16" i="1"/>
  <c r="M10" i="1"/>
  <c r="P10" i="1" l="1"/>
  <c r="M8" i="1"/>
  <c r="P8" i="1" s="1"/>
  <c r="O10" i="1"/>
  <c r="L8" i="1"/>
  <c r="O8" i="1" s="1"/>
</calcChain>
</file>

<file path=xl/sharedStrings.xml><?xml version="1.0" encoding="utf-8"?>
<sst xmlns="http://schemas.openxmlformats.org/spreadsheetml/2006/main" count="23688" uniqueCount="295">
  <si>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</si>
  <si>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</si>
  <si>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</si>
  <si>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</si>
  <si>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</si>
  <si>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</si>
  <si>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</si>
  <si>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</si>
  <si>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</si>
  <si>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</si>
  <si>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</si>
  <si>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</si>
  <si>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</si>
  <si>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</si>
  <si>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</si>
  <si>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</si>
  <si>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</si>
  <si>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</si>
  <si>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</si>
  <si>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</si>
  <si>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</si>
  <si>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</si>
  <si>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</si>
  <si>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</si>
  <si>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</si>
  <si>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</si>
  <si>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</si>
  <si>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</si>
  <si>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</si>
  <si>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</si>
  <si>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</si>
  <si>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</si>
  <si>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</si>
  <si>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</si>
  <si>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</si>
  <si>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</si>
  <si>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</si>
  <si>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</si>
  <si>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</si>
  <si>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</si>
  <si>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</si>
  <si>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</si>
  <si>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</si>
  <si>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</si>
  <si>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</si>
  <si>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</si>
  <si>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</si>
  <si>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</si>
  <si>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</si>
  <si>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</si>
  <si>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</si>
  <si>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</si>
  <si>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</si>
  <si>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</si>
  <si>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</si>
  <si>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</si>
  <si>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</si>
  <si>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</si>
  <si>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</si>
  <si>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</si>
  <si>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</si>
  <si>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</si>
  <si>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</si>
  <si>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</si>
  <si>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</si>
  <si>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</si>
  <si>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</si>
  <si>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</si>
  <si>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</si>
  <si>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</si>
  <si>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</si>
  <si>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</si>
  <si>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</si>
  <si>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</si>
  <si>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</si>
  <si>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</si>
  <si>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</si>
  <si>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</si>
  <si>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</si>
  <si>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</si>
  <si>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</si>
  <si>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</si>
  <si>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</si>
  <si>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</si>
  <si>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</si>
  <si>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</si>
  <si>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</si>
  <si>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</si>
  <si>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</si>
  <si>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</si>
  <si>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</si>
  <si>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</si>
  <si>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</si>
  <si>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</si>
  <si>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</si>
  <si>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</si>
  <si>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</si>
  <si>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</si>
  <si>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</si>
  <si>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</si>
  <si>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</si>
  <si>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</si>
  <si>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</si>
  <si>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</si>
  <si>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</si>
  <si>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</si>
  <si>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</si>
  <si>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</si>
  <si>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</si>
  <si>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</si>
  <si>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</si>
  <si>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</si>
  <si>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</si>
  <si>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</si>
  <si>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</si>
  <si>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</si>
  <si>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</si>
  <si>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</si>
  <si>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</si>
  <si>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</si>
  <si>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</si>
  <si>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</si>
  <si>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</si>
  <si>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</si>
  <si>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</si>
  <si>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</si>
  <si>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</si>
  <si>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</si>
  <si>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</si>
  <si>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</si>
  <si>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</si>
  <si>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</si>
  <si>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</si>
  <si>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</si>
  <si>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</si>
  <si>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</si>
  <si>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</si>
  <si>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</si>
  <si>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</si>
  <si>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</si>
  <si>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</si>
  <si>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</si>
  <si>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</si>
  <si>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</si>
  <si>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</si>
  <si>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</si>
  <si>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</si>
  <si>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</si>
  <si>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</si>
  <si>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</si>
  <si>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</si>
  <si>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</si>
  <si>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</si>
  <si>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</si>
  <si>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</si>
  <si>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</si>
  <si>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</si>
  <si>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</si>
  <si>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</si>
  <si>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</si>
  <si>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</si>
  <si>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</si>
  <si>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</si>
  <si>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</si>
  <si>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</si>
  <si>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</si>
  <si>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</si>
  <si>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</si>
  <si>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</si>
  <si>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</si>
  <si>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</si>
  <si>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</si>
  <si>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</si>
  <si>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</si>
  <si>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</si>
  <si>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</si>
  <si>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</si>
  <si>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</si>
  <si>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</si>
  <si>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</si>
  <si>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</si>
  <si>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</si>
  <si>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</si>
  <si>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</si>
  <si>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</si>
  <si>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</si>
  <si>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</si>
  <si>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</si>
  <si>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</si>
  <si>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</si>
  <si>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</si>
  <si>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</si>
  <si>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</si>
  <si>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</si>
  <si>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</si>
  <si>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</si>
  <si>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</si>
  <si>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</si>
  <si>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</si>
  <si>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</si>
  <si>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</si>
  <si>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</si>
  <si>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</si>
  <si>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</si>
  <si>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</si>
  <si>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</si>
  <si>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</si>
  <si>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</si>
  <si>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</si>
  <si>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</si>
  <si>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</si>
  <si>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</si>
  <si>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</si>
  <si>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</si>
  <si>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</si>
  <si>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</si>
  <si>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</si>
  <si>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</si>
  <si>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</si>
  <si>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</si>
  <si>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</si>
  <si>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</si>
  <si>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</si>
  <si>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</si>
  <si>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</si>
  <si>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</si>
  <si>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</si>
  <si>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</si>
  <si>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</si>
  <si>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</si>
  <si>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</si>
  <si>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</si>
  <si>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</si>
  <si>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</si>
  <si>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</si>
  <si>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</si>
  <si>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</si>
  <si>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</si>
  <si>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</si>
  <si>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</si>
  <si>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</si>
  <si>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</si>
  <si>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</si>
  <si>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</si>
  <si>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</si>
  <si>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</si>
  <si>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</si>
  <si>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</si>
  <si>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</si>
  <si>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</si>
  <si>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</si>
  <si>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</si>
  <si>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</si>
  <si>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</si>
  <si>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</si>
  <si>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</si>
  <si>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</si>
  <si>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</si>
  <si>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</si>
  <si>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</si>
  <si>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</si>
  <si>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</si>
  <si>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</si>
  <si>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</si>
  <si>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</si>
  <si>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</si>
  <si>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</si>
  <si>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</si>
  <si>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</si>
  <si>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</si>
  <si>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</si>
  <si>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</si>
  <si>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</si>
  <si>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</si>
  <si>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</si>
  <si>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</si>
  <si>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</si>
  <si>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</si>
  <si>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</si>
  <si>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</si>
  <si>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</si>
  <si>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</si>
  <si>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</si>
  <si>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</si>
  <si>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</si>
  <si>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</si>
  <si>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</si>
  <si>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</si>
  <si>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</si>
  <si>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</si>
  <si>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</si>
  <si>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</si>
  <si>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</si>
  <si>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</si>
  <si>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กรกฎาคม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</si>
</sst>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3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sz val="11"/>
      <color theme="1"/>
      <name val="Calibri"/>
      <scheme val="minor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6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2" borderId="20" xfId="0" applyNumberFormat="1" applyFont="1" applyFill="1" applyBorder="1" applyAlignment="1"/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9" fontId="15" fillId="2" borderId="19" xfId="0" applyNumberFormat="1" applyFont="1" applyFill="1" applyBorder="1" applyAlignment="1">
      <alignment horizontal="right" vertical="center" wrapText="1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6" fillId="32" borderId="50" xfId="0" applyFont="1" applyFill="1" applyBorder="1" applyAlignment="1"/>
    <xf numFmtId="0" fontId="16" fillId="32" borderId="28" xfId="0" applyFont="1" applyFill="1" applyBorder="1" applyAlignment="1"/>
    <xf numFmtId="188" fontId="16" fillId="32" borderId="28" xfId="0" applyNumberFormat="1" applyFont="1" applyFill="1" applyBorder="1" applyAlignment="1"/>
    <xf numFmtId="188" fontId="17" fillId="32" borderId="28" xfId="0" applyNumberFormat="1" applyFont="1" applyFill="1" applyBorder="1" applyAlignment="1">
      <alignment horizontal="right"/>
    </xf>
    <xf numFmtId="0" fontId="18" fillId="32" borderId="28" xfId="0" applyFont="1" applyFill="1" applyBorder="1"/>
    <xf numFmtId="0" fontId="16" fillId="15" borderId="17" xfId="0" applyFont="1" applyFill="1" applyBorder="1" applyAlignment="1"/>
    <xf numFmtId="0" fontId="16" fillId="15" borderId="18" xfId="0" applyFont="1" applyFill="1" applyBorder="1" applyAlignment="1"/>
    <xf numFmtId="0" fontId="17" fillId="15" borderId="18" xfId="0" applyFont="1" applyFill="1" applyBorder="1" applyAlignment="1"/>
    <xf numFmtId="0" fontId="20" fillId="15" borderId="18" xfId="0" applyFont="1" applyFill="1" applyBorder="1" applyAlignment="1"/>
    <xf numFmtId="0" fontId="20" fillId="0" borderId="19" xfId="0" applyFont="1" applyBorder="1" applyAlignment="1">
      <alignment horizontal="center"/>
    </xf>
    <xf numFmtId="3" fontId="16" fillId="0" borderId="19" xfId="0" applyNumberFormat="1" applyFont="1" applyBorder="1" applyAlignment="1"/>
    <xf numFmtId="0" fontId="16" fillId="0" borderId="19" xfId="0" applyFont="1" applyBorder="1" applyAlignment="1"/>
    <xf numFmtId="188" fontId="16" fillId="0" borderId="19" xfId="0" applyNumberFormat="1" applyFont="1" applyBorder="1" applyAlignment="1"/>
    <xf numFmtId="188" fontId="17" fillId="15" borderId="19" xfId="0" applyNumberFormat="1" applyFont="1" applyFill="1" applyBorder="1" applyAlignment="1">
      <alignment horizontal="right"/>
    </xf>
    <xf numFmtId="0" fontId="18" fillId="0" borderId="19" xfId="0" applyFont="1" applyBorder="1"/>
    <xf numFmtId="188" fontId="20" fillId="15" borderId="19" xfId="0" applyNumberFormat="1" applyFont="1" applyFill="1" applyBorder="1" applyAlignment="1">
      <alignment horizontal="right"/>
    </xf>
    <xf numFmtId="0" fontId="16" fillId="15" borderId="19" xfId="0" applyFont="1" applyFill="1" applyBorder="1" applyAlignment="1"/>
    <xf numFmtId="188" fontId="16" fillId="15" borderId="19" xfId="0" applyNumberFormat="1" applyFont="1" applyFill="1" applyBorder="1" applyAlignment="1"/>
    <xf numFmtId="188" fontId="16" fillId="15" borderId="19" xfId="0" applyNumberFormat="1" applyFont="1" applyFill="1" applyBorder="1"/>
    <xf numFmtId="3" fontId="16" fillId="15" borderId="19" xfId="0" applyNumberFormat="1" applyFont="1" applyFill="1" applyBorder="1" applyAlignment="1"/>
    <xf numFmtId="0" fontId="16" fillId="0" borderId="17" xfId="0" applyFont="1" applyBorder="1" applyAlignment="1"/>
    <xf numFmtId="0" fontId="16" fillId="0" borderId="18" xfId="0" applyFont="1" applyBorder="1" applyAlignment="1"/>
    <xf numFmtId="191" fontId="16" fillId="0" borderId="19" xfId="0" applyNumberFormat="1" applyFont="1" applyBorder="1" applyAlignment="1"/>
    <xf numFmtId="0" fontId="20" fillId="23" borderId="18" xfId="0" applyFont="1" applyFill="1" applyBorder="1" applyAlignment="1">
      <alignment horizontal="right"/>
    </xf>
    <xf numFmtId="187" fontId="16" fillId="15" borderId="19" xfId="0" applyNumberFormat="1" applyFont="1" applyFill="1" applyBorder="1" applyAlignment="1"/>
    <xf numFmtId="189" fontId="20" fillId="4" borderId="19" xfId="0" applyNumberFormat="1" applyFont="1" applyFill="1" applyBorder="1" applyAlignment="1">
      <alignment horizontal="right" wrapText="1"/>
    </xf>
    <xf numFmtId="191" fontId="16" fillId="15" borderId="19" xfId="0" applyNumberFormat="1" applyFont="1" applyFill="1" applyBorder="1" applyAlignment="1"/>
    <xf numFmtId="0" fontId="20" fillId="10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>
      <alignment horizontal="right"/>
    </xf>
    <xf numFmtId="189" fontId="20" fillId="15" borderId="19" xfId="0" applyNumberFormat="1" applyFont="1" applyFill="1" applyBorder="1" applyAlignment="1">
      <alignment horizontal="right"/>
    </xf>
    <xf numFmtId="188" fontId="20" fillId="0" borderId="19" xfId="0" applyNumberFormat="1" applyFont="1" applyBorder="1" applyAlignment="1">
      <alignment horizontal="right"/>
    </xf>
    <xf numFmtId="191" fontId="20" fillId="6" borderId="19" xfId="0" applyNumberFormat="1" applyFont="1" applyFill="1" applyBorder="1" applyAlignment="1">
      <alignment horizontal="right"/>
    </xf>
    <xf numFmtId="187" fontId="16" fillId="0" borderId="19" xfId="0" applyNumberFormat="1" applyFont="1" applyBorder="1" applyAlignment="1"/>
    <xf numFmtId="189" fontId="16" fillId="0" borderId="19" xfId="0" applyNumberFormat="1" applyFont="1" applyBorder="1" applyAlignment="1"/>
    <xf numFmtId="0" fontId="16" fillId="0" borderId="43" xfId="0" applyFont="1" applyBorder="1" applyAlignment="1"/>
    <xf numFmtId="0" fontId="22" fillId="0" borderId="44" xfId="0" applyFont="1" applyBorder="1" applyAlignment="1"/>
    <xf numFmtId="0" fontId="16" fillId="0" borderId="44" xfId="0" applyFont="1" applyBorder="1" applyAlignment="1"/>
    <xf numFmtId="0" fontId="20" fillId="0" borderId="46" xfId="0" applyFont="1" applyBorder="1" applyAlignment="1">
      <alignment horizontal="center"/>
    </xf>
    <xf numFmtId="187" fontId="16" fillId="0" borderId="46" xfId="0" applyNumberFormat="1" applyFont="1" applyBorder="1" applyAlignment="1"/>
    <xf numFmtId="189" fontId="20" fillId="4" borderId="46" xfId="0" applyNumberFormat="1" applyFont="1" applyFill="1" applyBorder="1" applyAlignment="1">
      <alignment horizontal="right" wrapText="1"/>
    </xf>
    <xf numFmtId="188" fontId="16" fillId="0" borderId="46" xfId="0" applyNumberFormat="1" applyFont="1" applyBorder="1" applyAlignment="1"/>
    <xf numFmtId="191" fontId="16" fillId="0" borderId="46" xfId="0" applyNumberFormat="1" applyFont="1" applyBorder="1" applyAlignment="1"/>
    <xf numFmtId="0" fontId="18" fillId="0" borderId="46" xfId="0" applyFont="1" applyBorder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2" fontId="2" fillId="4" borderId="19" xfId="0" applyNumberFormat="1" applyFont="1" applyFill="1" applyBorder="1" applyAlignment="1">
      <alignment horizontal="right" vertical="center" wrapText="1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20" fillId="15" borderId="18" xfId="0" applyFont="1" applyFill="1" applyBorder="1" applyAlignment="1"/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7" fillId="32" borderId="51" xfId="0" applyFont="1" applyFill="1" applyBorder="1" applyAlignment="1"/>
    <xf numFmtId="0" fontId="3" fillId="0" borderId="51" xfId="0" applyFont="1" applyBorder="1"/>
    <xf numFmtId="0" fontId="19" fillId="15" borderId="18" xfId="0" applyFont="1" applyFill="1" applyBorder="1" applyAlignment="1"/>
    <xf numFmtId="0" fontId="21" fillId="22" borderId="18" xfId="0" applyFont="1" applyFill="1" applyBorder="1" applyAlignment="1"/>
    <xf numFmtId="0" fontId="20" fillId="23" borderId="18" xfId="0" applyFont="1" applyFill="1" applyBorder="1" applyAlignment="1"/>
    <xf numFmtId="0" fontId="20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7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6.5703125" customWidth="1"/>
    <col min="10" max="10" width="15.85546875" customWidth="1"/>
    <col min="11" max="11" width="10.85546875" bestFit="1" customWidth="1"/>
    <col min="12" max="12" width="21.570312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1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119059742.94</v>
      </c>
      <c r="M8" s="23">
        <f t="shared" ca="1" si="0"/>
        <v>81434720.579999998</v>
      </c>
      <c r="N8" s="23">
        <f t="shared" ca="1" si="0"/>
        <v>85032725.189999998</v>
      </c>
      <c r="O8" s="22">
        <f t="shared" ref="O8:O16" ca="1" si="1">IF(L8&gt;0,N8*100/L8,0)</f>
        <v>71.420215675127181</v>
      </c>
      <c r="P8" s="22">
        <f t="shared" ref="P8:P16" ca="1" si="2">IF(M8&gt;0,N8*100/M8,0)</f>
        <v>104.41826850313238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119059742.94</v>
      </c>
      <c r="M10" s="30">
        <f t="shared" ca="1" si="4"/>
        <v>81434720.579999998</v>
      </c>
      <c r="N10" s="30">
        <f t="shared" ca="1" si="4"/>
        <v>85032725.189999998</v>
      </c>
      <c r="O10" s="29">
        <f t="shared" ca="1" si="1"/>
        <v>71.420215675127181</v>
      </c>
      <c r="P10" s="29">
        <f t="shared" ca="1" si="2"/>
        <v>104.41826850313238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98737524</v>
      </c>
      <c r="M12" s="39">
        <f t="shared" ca="1" si="6"/>
        <v>61112501.640000001</v>
      </c>
      <c r="N12" s="39">
        <f t="shared" ca="1" si="6"/>
        <v>64963804.629999995</v>
      </c>
      <c r="O12" s="39">
        <f t="shared" ca="1" si="1"/>
        <v>65.79444369093153</v>
      </c>
      <c r="P12" s="39">
        <f t="shared" ca="1" si="2"/>
        <v>106.3019887693146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35134700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63602824</v>
      </c>
      <c r="M14" s="39">
        <f t="shared" si="8"/>
        <v>0</v>
      </c>
      <c r="N14" s="39">
        <f t="shared" ca="1" si="8"/>
        <v>19532597.099999994</v>
      </c>
      <c r="O14" s="39">
        <f t="shared" ca="1" si="1"/>
        <v>30.710267047261919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20322218.939999998</v>
      </c>
      <c r="M16" s="39">
        <f t="shared" ca="1" si="10"/>
        <v>20322218.939999998</v>
      </c>
      <c r="N16" s="39">
        <f t="shared" ca="1" si="10"/>
        <v>20068920.560000002</v>
      </c>
      <c r="O16" s="50">
        <f t="shared" ca="1" si="1"/>
        <v>98.75358896217071</v>
      </c>
      <c r="P16" s="50">
        <f t="shared" ca="1" si="2"/>
        <v>98.75358896217071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78811758.939999998</v>
      </c>
      <c r="M18" s="23">
        <f t="shared" ca="1" si="11"/>
        <v>81434720.579999998</v>
      </c>
      <c r="N18" s="23">
        <f t="shared" ca="1" si="11"/>
        <v>65500128.090000004</v>
      </c>
      <c r="O18" s="22">
        <f t="shared" ref="O18:O26" ca="1" si="12">IF(L18&gt;0,N18*100/L18,0)</f>
        <v>83.109587923124209</v>
      </c>
      <c r="P18" s="22">
        <f t="shared" ref="P18:P26" ca="1" si="13">IF(M18&gt;0,N18*100/M18,0)</f>
        <v>80.432679848951963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78811758.939999998</v>
      </c>
      <c r="M20" s="30">
        <f t="shared" ca="1" si="15"/>
        <v>81434720.579999998</v>
      </c>
      <c r="N20" s="30">
        <f t="shared" ca="1" si="15"/>
        <v>65500128.090000004</v>
      </c>
      <c r="O20" s="29">
        <f t="shared" ca="1" si="12"/>
        <v>83.109587923124209</v>
      </c>
      <c r="P20" s="29">
        <f t="shared" ca="1" si="13"/>
        <v>80.432679848951963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si="12"/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7">L45+L57+L70+L98+L122+L144+L224+L254+L275+L294+L314+L333</f>
        <v>58489540</v>
      </c>
      <c r="M22" s="42">
        <f t="shared" ca="1" si="17"/>
        <v>61112501.640000001</v>
      </c>
      <c r="N22" s="39">
        <f t="shared" ca="1" si="17"/>
        <v>45431207.530000001</v>
      </c>
      <c r="O22" s="39">
        <f t="shared" ca="1" si="12"/>
        <v>77.674072201627851</v>
      </c>
      <c r="P22" s="39">
        <f t="shared" ca="1" si="13"/>
        <v>74.340284411240475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8">L46+L58+L71+L99+L123+L145+L225+L255+L276+L295+L315+L334</f>
        <v>35134700</v>
      </c>
      <c r="M23" s="42">
        <f t="shared" si="18"/>
        <v>0</v>
      </c>
      <c r="N23" s="39">
        <f t="shared" si="18"/>
        <v>0</v>
      </c>
      <c r="O23" s="39">
        <f t="shared" ca="1" si="12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19">L47+L59+L72+L100+L124+L146+L226+L256+L277+L296+L316+L335</f>
        <v>23354840</v>
      </c>
      <c r="M24" s="42">
        <f t="shared" si="19"/>
        <v>0</v>
      </c>
      <c r="N24" s="39">
        <f t="shared" si="19"/>
        <v>0</v>
      </c>
      <c r="O24" s="39">
        <f t="shared" ca="1" si="12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20322218.939999998</v>
      </c>
      <c r="M26" s="50">
        <f t="shared" ca="1" si="21"/>
        <v>20322218.939999998</v>
      </c>
      <c r="N26" s="50">
        <f t="shared" ca="1" si="21"/>
        <v>20068920.560000002</v>
      </c>
      <c r="O26" s="50">
        <f t="shared" ca="1" si="12"/>
        <v>98.75358896217071</v>
      </c>
      <c r="P26" s="50">
        <f t="shared" ca="1" si="13"/>
        <v>98.75358896217071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2">L29+L30</f>
        <v>40247984</v>
      </c>
      <c r="M28" s="23">
        <f t="shared" si="22"/>
        <v>0</v>
      </c>
      <c r="N28" s="23">
        <f t="shared" ca="1" si="22"/>
        <v>19532597.099999994</v>
      </c>
      <c r="O28" s="22">
        <f t="shared" ref="O28:O30" ca="1" si="23">IF(L28&gt;0,N28*100/L28,0)</f>
        <v>48.530622303964329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40247984</v>
      </c>
      <c r="M30" s="30">
        <f t="shared" si="26"/>
        <v>0</v>
      </c>
      <c r="N30" s="30">
        <f t="shared" ca="1" si="26"/>
        <v>19532597.099999994</v>
      </c>
      <c r="O30" s="29">
        <f t="shared" ca="1" si="23"/>
        <v>48.530622303964329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7">L351+L382+L403+L436+L456+L534+L552+L565+L581+L598</f>
        <v>0</v>
      </c>
      <c r="M31" s="39">
        <f t="shared" si="27"/>
        <v>0</v>
      </c>
      <c r="N31" s="39">
        <f t="shared" ca="1" si="27"/>
        <v>0</v>
      </c>
      <c r="O31" s="39">
        <f t="shared" ref="O31:O37" ca="1" si="28">IF(L31&gt;0,N31*100/L31,0)</f>
        <v>0</v>
      </c>
      <c r="P31" s="39">
        <f t="shared" si="24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29">L352+L383+L404+L437+L457+L535+L553+L566+L582+L599</f>
        <v>40247984</v>
      </c>
      <c r="M32" s="39">
        <f t="shared" si="29"/>
        <v>0</v>
      </c>
      <c r="N32" s="39">
        <f t="shared" ca="1" si="29"/>
        <v>19532597.099999994</v>
      </c>
      <c r="O32" s="39">
        <f t="shared" ca="1" si="28"/>
        <v>48.530622303964329</v>
      </c>
      <c r="P32" s="39">
        <f t="shared" si="24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0">L353+L384+L405+L438+L458+L536+L554+L567+L583+L600</f>
        <v>0</v>
      </c>
      <c r="M33" s="39">
        <f t="shared" si="30"/>
        <v>0</v>
      </c>
      <c r="N33" s="39">
        <f t="shared" ca="1" si="30"/>
        <v>0</v>
      </c>
      <c r="O33" s="39">
        <f t="shared" ca="1" si="28"/>
        <v>0</v>
      </c>
      <c r="P33" s="39">
        <f t="shared" si="24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1">L354+L385+L406+L439+L459+L537+L555+L568+L584+L601</f>
        <v>40247984</v>
      </c>
      <c r="M34" s="39">
        <f t="shared" si="31"/>
        <v>0</v>
      </c>
      <c r="N34" s="39">
        <f t="shared" ca="1" si="31"/>
        <v>19532597.099999994</v>
      </c>
      <c r="O34" s="39">
        <f t="shared" ca="1" si="28"/>
        <v>48.530622303964329</v>
      </c>
      <c r="P34" s="39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8"/>
        <v>0</v>
      </c>
      <c r="P36" s="50">
        <f t="shared" si="24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78811758.939999998</v>
      </c>
      <c r="M37" s="55">
        <f t="shared" ca="1" si="32"/>
        <v>81434720.580000013</v>
      </c>
      <c r="N37" s="55">
        <f t="shared" ca="1" si="32"/>
        <v>65500128.090000004</v>
      </c>
      <c r="O37" s="56">
        <f t="shared" ca="1" si="28"/>
        <v>83.109587923124209</v>
      </c>
      <c r="P37" s="56">
        <f t="shared" ca="1" si="24"/>
        <v>80.432679848951949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3">L42+L43</f>
        <v>27236729.699999999</v>
      </c>
      <c r="M41" s="79">
        <f t="shared" ca="1" si="33"/>
        <v>27340583.699999999</v>
      </c>
      <c r="N41" s="79">
        <f t="shared" ca="1" si="33"/>
        <v>24403081.649999999</v>
      </c>
      <c r="O41" s="78">
        <f t="shared" ref="O41:O43" ca="1" si="34">IF(L41&gt;0,N41*100/L41,0)</f>
        <v>89.596225093058806</v>
      </c>
      <c r="P41" s="78">
        <f t="shared" ref="P41:P43" ca="1" si="35">IF(M41&gt;0,N41*100/M41,0)</f>
        <v>89.255891233953434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27236729.699999999</v>
      </c>
      <c r="M43" s="79">
        <f t="shared" ca="1" si="37"/>
        <v>27340583.699999999</v>
      </c>
      <c r="N43" s="79">
        <f t="shared" ca="1" si="37"/>
        <v>24403081.649999999</v>
      </c>
      <c r="O43" s="78">
        <f t="shared" ca="1" si="34"/>
        <v>89.596225093058806</v>
      </c>
      <c r="P43" s="78">
        <f t="shared" ca="1" si="35"/>
        <v>89.255891233953434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8"/>
      <c r="N44" s="87"/>
      <c r="O44" s="87"/>
      <c r="P44" s="87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12766200</v>
      </c>
      <c r="M45" s="50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12870054</v>
      </c>
      <c r="N45" s="50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10185850.33</v>
      </c>
      <c r="O45" s="39">
        <f ca="1">IF(L45&gt;0,N45*100/L45,0)</f>
        <v>79.787644953079223</v>
      </c>
      <c r="P45" s="39">
        <f ca="1">IF(M45&gt;0,N45*100/M45,0)</f>
        <v>79.143804136330743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12766200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14470529.699999999</v>
      </c>
      <c r="M49" s="50">
        <f ca="1">กำแพงเพชร!M49+เชียงราย!M49+เชียงใหม่!M49+ตาก!M49+นครสวรรค์!M49+น่าน!M49+พะเยา!M49+พิจิตร!M49+พิษณุโลก!M49+เพชรบูรณ์!M49+แพร่!M49+แม่ฮ่องสอน!M49+ลำปาง!M49+ลำพูน!M49+สุโขทัย!M49+อุตรดิตถ์!M49+อุทัยธานี!M49</f>
        <v>14470529.699999999</v>
      </c>
      <c r="N49" s="50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14217231.32</v>
      </c>
      <c r="O49" s="50">
        <f ca="1">IF(L49&gt;0,N49*100/L49,0)</f>
        <v>98.249556959894846</v>
      </c>
      <c r="P49" s="50">
        <f ca="1">IF(M49&gt;0,N49*100/M49,0)</f>
        <v>98.249556959894846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8">L54+L55</f>
        <v>8935700</v>
      </c>
      <c r="M53" s="121">
        <f t="shared" ca="1" si="38"/>
        <v>9086638.6400000006</v>
      </c>
      <c r="N53" s="121">
        <f t="shared" ca="1" si="38"/>
        <v>7717811.1699999999</v>
      </c>
      <c r="O53" s="120">
        <f t="shared" ref="O53:O55" ca="1" si="39">IF(L53&gt;0,N53*100/L53,0)</f>
        <v>86.370526875342733</v>
      </c>
      <c r="P53" s="120">
        <f t="shared" ref="P53:P55" ca="1" si="40">IF(M53&gt;0,N53*100/M53,0)</f>
        <v>84.935821438146235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8935700</v>
      </c>
      <c r="M55" s="121">
        <f t="shared" ca="1" si="42"/>
        <v>9086638.6400000006</v>
      </c>
      <c r="N55" s="121">
        <f t="shared" ca="1" si="42"/>
        <v>7717811.1699999999</v>
      </c>
      <c r="O55" s="120">
        <f t="shared" ca="1" si="39"/>
        <v>86.370526875342733</v>
      </c>
      <c r="P55" s="120">
        <f t="shared" ca="1" si="40"/>
        <v>84.935821438146235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87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8"/>
      <c r="N56" s="87"/>
      <c r="O56" s="87"/>
      <c r="P56" s="87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8935700</v>
      </c>
      <c r="M57" s="50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9086638.6400000006</v>
      </c>
      <c r="N57" s="50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7717811.1699999999</v>
      </c>
      <c r="O57" s="39">
        <f ca="1">IF(L57&gt;0,N57*100/L57,0)</f>
        <v>86.370526875342733</v>
      </c>
      <c r="P57" s="39">
        <f ca="1">IF(M57&gt;0,N57*100/M57,0)</f>
        <v>84.935821438146235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8935700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50"/>
      <c r="N61" s="50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2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13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2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646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10776374.24</v>
      </c>
      <c r="M66" s="152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11149914.24</v>
      </c>
      <c r="N66" s="152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9337593.9900000002</v>
      </c>
      <c r="O66" s="151">
        <f t="shared" ref="O66:O68" ca="1" si="44">IF(L66&gt;0,N66*100/L66,0)</f>
        <v>86.648753857679679</v>
      </c>
      <c r="P66" s="151">
        <f t="shared" ref="P66:P68" ca="1" si="45">IF(M66&gt;0,N66*100/M66,0)</f>
        <v>83.745881708234549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88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88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10776374.24</v>
      </c>
      <c r="M68" s="88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11149914.24</v>
      </c>
      <c r="N68" s="88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9337593.9900000002</v>
      </c>
      <c r="O68" s="156">
        <f t="shared" ca="1" si="44"/>
        <v>86.648753857679679</v>
      </c>
      <c r="P68" s="156">
        <f t="shared" ca="1" si="45"/>
        <v>83.745881708234549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4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4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7166900</v>
      </c>
      <c r="M70" s="167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7540440</v>
      </c>
      <c r="N70" s="168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5728119.75</v>
      </c>
      <c r="O70" s="168">
        <f ca="1">IF(L70&gt;0,N70*100/L70,0)</f>
        <v>79.924650127670262</v>
      </c>
      <c r="P70" s="168">
        <f ca="1">IF(M70&gt;0,N70*100/M70,0)</f>
        <v>75.965324967773768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5920200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3609474.24</v>
      </c>
      <c r="M74" s="50">
        <f ca="1"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3609474.24</v>
      </c>
      <c r="N74" s="50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3609474.24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10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13</v>
      </c>
      <c r="K80" s="201">
        <f t="shared" ref="K80:K88" ca="1" si="46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646</v>
      </c>
      <c r="K81" s="201">
        <f t="shared" ca="1" si="46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0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4</v>
      </c>
      <c r="K82" s="163">
        <f t="shared" ca="1" si="46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0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155</v>
      </c>
      <c r="K83" s="163">
        <f t="shared" ca="1" si="46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8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3</v>
      </c>
      <c r="K84" s="163">
        <f t="shared" ca="1" si="46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8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150</v>
      </c>
      <c r="K85" s="163">
        <f t="shared" ca="1" si="46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0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6</v>
      </c>
      <c r="K86" s="163">
        <f t="shared" ca="1" si="46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0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341</v>
      </c>
      <c r="K87" s="163">
        <f t="shared" ca="1" si="46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13</v>
      </c>
      <c r="J88" s="20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7</v>
      </c>
      <c r="K88" s="163">
        <f t="shared" ca="1" si="46"/>
        <v>53.846153846153847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2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49</v>
      </c>
      <c r="K92" s="143">
        <f t="shared" ref="K92:K93" ca="1" si="47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2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13</v>
      </c>
      <c r="K93" s="143">
        <f t="shared" ca="1" si="47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2455575</v>
      </c>
      <c r="M94" s="152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2538325</v>
      </c>
      <c r="N94" s="152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1941537.5</v>
      </c>
      <c r="O94" s="151">
        <f t="shared" ref="O94:O96" ca="1" si="48">IF(L94&gt;0,N94*100/L94,0)</f>
        <v>79.066511916760845</v>
      </c>
      <c r="P94" s="151">
        <f t="shared" ref="P94:P96" ca="1" si="49">IF(M94&gt;0,N94*100/M94,0)</f>
        <v>76.488924783075447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88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88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2455575</v>
      </c>
      <c r="M96" s="88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2538325</v>
      </c>
      <c r="N96" s="88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1941537.5</v>
      </c>
      <c r="O96" s="156">
        <f t="shared" ca="1" si="48"/>
        <v>79.066511916760845</v>
      </c>
      <c r="P96" s="156">
        <f t="shared" ca="1" si="49"/>
        <v>76.488924783075447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4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4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1257180</v>
      </c>
      <c r="M98" s="167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1339930</v>
      </c>
      <c r="N98" s="168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743142.5</v>
      </c>
      <c r="O98" s="168">
        <f ca="1">IF(L98&gt;0,N98*100/L98,0)</f>
        <v>59.111861467729362</v>
      </c>
      <c r="P98" s="168">
        <f ca="1">IF(M98&gt;0,N98*100/M98,0)</f>
        <v>55.461292754099098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1257180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1198395</v>
      </c>
      <c r="M102" s="50">
        <f ca="1"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1198395</v>
      </c>
      <c r="N102" s="50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1198395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10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10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0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10</v>
      </c>
      <c r="K108" s="224">
        <f t="shared" ref="K108:K113" ca="1" si="50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0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49</v>
      </c>
      <c r="K109" s="224">
        <f t="shared" ca="1" si="50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0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24">
        <f t="shared" ca="1" si="50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0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49</v>
      </c>
      <c r="K111" s="224">
        <f t="shared" ca="1" si="50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0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49</v>
      </c>
      <c r="K112" s="224">
        <f t="shared" ca="1" si="50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0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13</v>
      </c>
      <c r="K113" s="224">
        <f t="shared" ca="1" si="50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2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200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824400</v>
      </c>
      <c r="M118" s="152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992014</v>
      </c>
      <c r="N118" s="152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807532.6</v>
      </c>
      <c r="O118" s="151">
        <f t="shared" ref="O118:O120" ca="1" si="51">IF(L118&gt;0,N118*100/L118,0)</f>
        <v>97.953978651140218</v>
      </c>
      <c r="P118" s="151">
        <f t="shared" ref="P118:P120" ca="1" si="52">IF(M118&gt;0,N118*100/M118,0)</f>
        <v>81.403347130181629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88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88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824400</v>
      </c>
      <c r="M120" s="88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992014</v>
      </c>
      <c r="N120" s="88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807532.6</v>
      </c>
      <c r="O120" s="156">
        <f t="shared" ca="1" si="51"/>
        <v>97.953978651140218</v>
      </c>
      <c r="P120" s="156">
        <f t="shared" ca="1" si="52"/>
        <v>81.403347130181629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4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4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824400</v>
      </c>
      <c r="M122" s="167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992014</v>
      </c>
      <c r="N122" s="168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807532.6</v>
      </c>
      <c r="O122" s="168">
        <f ca="1">IF(L122&gt;0,N122*100/L122,0)</f>
        <v>97.953978651140218</v>
      </c>
      <c r="P122" s="168">
        <f ca="1">IF(M122&gt;0,N122*100/M122,0)</f>
        <v>81.403347130181629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824400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50"/>
      <c r="N126" s="50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68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10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10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9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0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200</v>
      </c>
      <c r="K132" s="224">
        <f t="shared" ref="K132:K133" ca="1" si="5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0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210</v>
      </c>
      <c r="K133" s="224">
        <f t="shared" ca="1" si="53"/>
        <v>105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7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440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5884000</v>
      </c>
      <c r="M140" s="152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6954355</v>
      </c>
      <c r="N140" s="152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4778811.1499999994</v>
      </c>
      <c r="O140" s="151">
        <f t="shared" ref="O140:O142" ca="1" si="54">IF(L140&gt;0,N140*100/L140,0)</f>
        <v>81.217048776342608</v>
      </c>
      <c r="P140" s="151">
        <f t="shared" ref="P140:P142" ca="1" si="55">IF(M140&gt;0,N140*100/M140,0)</f>
        <v>68.716813421230285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88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88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5884000</v>
      </c>
      <c r="M142" s="88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6954355</v>
      </c>
      <c r="N142" s="88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4778811.1499999994</v>
      </c>
      <c r="O142" s="156">
        <f t="shared" ca="1" si="54"/>
        <v>81.217048776342608</v>
      </c>
      <c r="P142" s="156">
        <f t="shared" ca="1" si="55"/>
        <v>68.716813421230285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4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4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5646000</v>
      </c>
      <c r="M144" s="167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6716355</v>
      </c>
      <c r="N144" s="168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4540811.1499999994</v>
      </c>
      <c r="O144" s="168">
        <f ca="1">IF(L144&gt;0,N144*100/L144,0)</f>
        <v>80.425277187389298</v>
      </c>
      <c r="P144" s="168">
        <f ca="1">IF(M144&gt;0,N144*100/M144,0)</f>
        <v>67.608265941868751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3413200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50">
        <f ca="1"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238000</v>
      </c>
      <c r="N148" s="50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5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47</v>
      </c>
      <c r="K149" s="276">
        <f ca="1">IF(I149&gt;0,J149*100/I149,0)</f>
        <v>69.117647058823536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17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14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16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8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47</v>
      </c>
      <c r="K158" s="163">
        <f ca="1">IF(I158&gt;0,J158*100/I158,0)</f>
        <v>69.117647058823536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1699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1697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84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52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15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13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13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8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52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3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4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84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4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1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1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0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4</v>
      </c>
      <c r="K185" s="224">
        <f t="shared" ref="K185:K186" ca="1" si="56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0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4</v>
      </c>
      <c r="K186" s="224">
        <f t="shared" ca="1" si="56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1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3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84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320000</v>
      </c>
      <c r="K189" s="285">
        <f ca="1">IF(I189&gt;0,J189*100/I189,0)</f>
        <v>26.143790849673202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3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14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10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10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8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834000</v>
      </c>
      <c r="K199" s="163">
        <f t="shared" ref="K199:K201" ca="1" si="57">IF(I199&gt;0,J199*100/I199,0)</f>
        <v>68.137254901960787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8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320000</v>
      </c>
      <c r="K200" s="163">
        <f t="shared" ca="1" si="57"/>
        <v>26.143790849673202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8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63">
        <f t="shared" ca="1" si="57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84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380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0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380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8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0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90</v>
      </c>
      <c r="K215" s="224">
        <f t="shared" ref="K215:K216" ca="1" si="58">IF(I215&gt;0,J215*100/I215,0)</f>
        <v>69.230769230769226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0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6</v>
      </c>
      <c r="K216" s="224">
        <f t="shared" ca="1" si="58"/>
        <v>50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7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2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332510</v>
      </c>
      <c r="N220" s="152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331730</v>
      </c>
      <c r="O220" s="151">
        <f t="shared" ref="O220:O222" ca="1" si="59">IF(L220&gt;0,N220*100/L220,0)</f>
        <v>99.765420588854468</v>
      </c>
      <c r="P220" s="151">
        <f t="shared" ref="P220:P222" ca="1" si="60">IF(M220&gt;0,N220*100/M220,0)</f>
        <v>99.765420588854468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88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88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88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332510</v>
      </c>
      <c r="N222" s="88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331730</v>
      </c>
      <c r="O222" s="156">
        <f t="shared" ca="1" si="59"/>
        <v>99.765420588854468</v>
      </c>
      <c r="P222" s="156">
        <f t="shared" ca="1" si="60"/>
        <v>99.765420588854468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4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4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67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332510</v>
      </c>
      <c r="N224" s="168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331730</v>
      </c>
      <c r="O224" s="168">
        <f ca="1">IF(L224&gt;0,N224*100/L224,0)</f>
        <v>99.765420588854468</v>
      </c>
      <c r="P224" s="168">
        <f ca="1">IF(M224&gt;0,N224*100/M224,0)</f>
        <v>99.765420588854468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50"/>
      <c r="N228" s="50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7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5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8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25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11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7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8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16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180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2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1126000</v>
      </c>
      <c r="N250" s="152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862014.76</v>
      </c>
      <c r="O250" s="151">
        <f t="shared" ref="O250:O252" ca="1" si="61">IF(L250&gt;0,N250*100/L250,0)</f>
        <v>76.555484902309061</v>
      </c>
      <c r="P250" s="151">
        <f t="shared" ref="P250:P252" ca="1" si="62">IF(M250&gt;0,N250*100/M250,0)</f>
        <v>76.555484902309061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88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88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88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1126000</v>
      </c>
      <c r="N252" s="88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862014.76</v>
      </c>
      <c r="O252" s="156">
        <f t="shared" ca="1" si="61"/>
        <v>76.555484902309061</v>
      </c>
      <c r="P252" s="156">
        <f t="shared" ca="1" si="62"/>
        <v>76.555484902309061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4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67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1126000</v>
      </c>
      <c r="N254" s="168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862014.76</v>
      </c>
      <c r="O254" s="168">
        <f ca="1">IF(L254&gt;0,N254*100/L254,0)</f>
        <v>76.555484902309061</v>
      </c>
      <c r="P254" s="168">
        <f ca="1">IF(M254&gt;0,N254*100/M254,0)</f>
        <v>76.555484902309061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50"/>
      <c r="N258" s="50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8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8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7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8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8</v>
      </c>
      <c r="K264" s="163">
        <f t="shared" ref="K264:K267" ca="1" si="63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8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180</v>
      </c>
      <c r="K265" s="163">
        <f t="shared" ca="1" si="63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88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75</v>
      </c>
      <c r="K266" s="163">
        <f t="shared" ca="1" si="63"/>
        <v>41.666666666666664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8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7</v>
      </c>
      <c r="K267" s="163">
        <f t="shared" ca="1" si="63"/>
        <v>87.5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16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255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2476100</v>
      </c>
      <c r="M271" s="152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2476100</v>
      </c>
      <c r="N271" s="152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1719677.6099999999</v>
      </c>
      <c r="O271" s="151">
        <f t="shared" ref="O271:O273" ca="1" si="64">IF(L271&gt;0,N271*100/L271,0)</f>
        <v>69.451056500141348</v>
      </c>
      <c r="P271" s="151">
        <f t="shared" ref="P271:P273" ca="1" si="65">IF(M271&gt;0,N271*100/M271,0)</f>
        <v>69.451056500141348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88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88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2476100</v>
      </c>
      <c r="M273" s="88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2476100</v>
      </c>
      <c r="N273" s="88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1719677.6099999999</v>
      </c>
      <c r="O273" s="156">
        <f t="shared" ca="1" si="64"/>
        <v>69.451056500141348</v>
      </c>
      <c r="P273" s="156">
        <f t="shared" ca="1" si="65"/>
        <v>69.451056500141348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4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4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2476100</v>
      </c>
      <c r="M275" s="167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2476100</v>
      </c>
      <c r="N275" s="168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1719677.6099999999</v>
      </c>
      <c r="O275" s="168">
        <f ca="1">IF(L275&gt;0,N275*100/L275,0)</f>
        <v>69.451056500141348</v>
      </c>
      <c r="P275" s="168">
        <f ca="1">IF(M275&gt;0,N275*100/M275,0)</f>
        <v>69.451056500141348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1420100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0"/>
      <c r="N279" s="50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15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15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8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255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16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2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120760</v>
      </c>
      <c r="N290" s="152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50045</v>
      </c>
      <c r="O290" s="151">
        <f t="shared" ref="O290:O292" ca="1" si="66">IF(L290&gt;0,N290*100/L290,0)</f>
        <v>41.441702550513412</v>
      </c>
      <c r="P290" s="151">
        <f t="shared" ref="P290:P292" ca="1" si="67">IF(M290&gt;0,N290*100/M290,0)</f>
        <v>41.441702550513412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88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88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88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120760</v>
      </c>
      <c r="N292" s="88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50045</v>
      </c>
      <c r="O292" s="156">
        <f t="shared" ca="1" si="66"/>
        <v>41.441702550513412</v>
      </c>
      <c r="P292" s="156">
        <f t="shared" ca="1" si="67"/>
        <v>41.441702550513412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4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4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67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120760</v>
      </c>
      <c r="N294" s="168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50045</v>
      </c>
      <c r="O294" s="168">
        <f ca="1">IF(L294&gt;0,N294*100/L294,0)</f>
        <v>41.441702550513412</v>
      </c>
      <c r="P294" s="168">
        <f ca="1">IF(M294&gt;0,N294*100/M294,0)</f>
        <v>41.441702550513412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0"/>
      <c r="N298" s="50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0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0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33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8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772800</v>
      </c>
      <c r="M310" s="152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960300</v>
      </c>
      <c r="N310" s="152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560377.59</v>
      </c>
      <c r="O310" s="151">
        <f t="shared" ref="O310:O312" ca="1" si="68">IF(L310&gt;0,N310*100/L310,0)</f>
        <v>72.512628105590068</v>
      </c>
      <c r="P310" s="151">
        <f t="shared" ref="P310:P312" ca="1" si="69">IF(M310&gt;0,N310*100/M310,0)</f>
        <v>58.35442986566698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88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88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772800</v>
      </c>
      <c r="M312" s="88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960300</v>
      </c>
      <c r="N312" s="88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560377.59</v>
      </c>
      <c r="O312" s="156">
        <f t="shared" ca="1" si="68"/>
        <v>72.512628105590068</v>
      </c>
      <c r="P312" s="156">
        <f t="shared" ca="1" si="69"/>
        <v>58.35442986566698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4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4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772800</v>
      </c>
      <c r="M314" s="167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960300</v>
      </c>
      <c r="N314" s="168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560377.59</v>
      </c>
      <c r="O314" s="168">
        <f ca="1">IF(L314&gt;0,N314*100/L314,0)</f>
        <v>72.512628105590068</v>
      </c>
      <c r="P314" s="168">
        <f ca="1">IF(M314&gt;0,N314*100/M314,0)</f>
        <v>58.35442986566698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772800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50"/>
      <c r="N318" s="50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3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3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0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8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7949</v>
      </c>
      <c r="J328" s="339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4860</v>
      </c>
      <c r="K328" s="317">
        <f ca="1">IF(I328&gt;0,J328*100/I328,0)</f>
        <v>61.139766008302928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17870810</v>
      </c>
      <c r="M329" s="152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18357220</v>
      </c>
      <c r="N329" s="152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12989915.070000002</v>
      </c>
      <c r="O329" s="151">
        <f t="shared" ref="O329:O331" ca="1" si="70">IF(L329&gt;0,N329*100/L329,0)</f>
        <v>72.687891986988845</v>
      </c>
      <c r="P329" s="151">
        <f t="shared" ref="P329:P331" ca="1" si="71">IF(M329&gt;0,N329*100/M329,0)</f>
        <v>70.761885895576796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88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88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17870810</v>
      </c>
      <c r="M331" s="88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18357220</v>
      </c>
      <c r="N331" s="88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12989915.070000002</v>
      </c>
      <c r="O331" s="156">
        <f t="shared" ca="1" si="70"/>
        <v>72.687891986988845</v>
      </c>
      <c r="P331" s="156">
        <f t="shared" ca="1" si="71"/>
        <v>70.761885895576796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4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4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17064990</v>
      </c>
      <c r="M333" s="167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17551400</v>
      </c>
      <c r="N333" s="168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12184095.070000002</v>
      </c>
      <c r="O333" s="168">
        <f ca="1">IF(L333&gt;0,N333*100/L333,0)</f>
        <v>71.398196365775789</v>
      </c>
      <c r="P333" s="168">
        <f ca="1">IF(M333&gt;0,N333*100/M333,0)</f>
        <v>69.419505395580998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8431690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805820</v>
      </c>
      <c r="M337" s="50">
        <f ca="1">L337</f>
        <v>805820</v>
      </c>
      <c r="N337" s="50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8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4442</v>
      </c>
      <c r="K339" s="342">
        <f t="shared" ref="K339:K346" ca="1" si="72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42110</v>
      </c>
      <c r="J340" s="18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32701.479999999967</v>
      </c>
      <c r="K340" s="342">
        <f t="shared" ca="1" si="72"/>
        <v>77.657278556162353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7949</v>
      </c>
      <c r="J341" s="18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6434</v>
      </c>
      <c r="K341" s="342">
        <f t="shared" ca="1" si="72"/>
        <v>80.940998867782113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8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58780.13999999997</v>
      </c>
      <c r="K342" s="342">
        <f t="shared" ca="1" si="72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7949</v>
      </c>
      <c r="J343" s="18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83</v>
      </c>
      <c r="K343" s="342">
        <f t="shared" ca="1" si="72"/>
        <v>1.0441564976726632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8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771.6</v>
      </c>
      <c r="K344" s="342">
        <f t="shared" ca="1" si="72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7949</v>
      </c>
      <c r="J345" s="18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4860</v>
      </c>
      <c r="K345" s="342">
        <f t="shared" ca="1" si="72"/>
        <v>61.139766008302928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8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44606.359999999979</v>
      </c>
      <c r="K346" s="350">
        <f t="shared" ca="1" si="72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40247984</v>
      </c>
      <c r="M347" s="357"/>
      <c r="N347" s="357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19532597.099999961</v>
      </c>
      <c r="O347" s="357">
        <f ca="1">+IF(L347&gt;0,N347*100/L347,0)</f>
        <v>48.530622303964243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70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1398</v>
      </c>
      <c r="K349" s="371">
        <f t="shared" ref="K349:K350" ca="1" si="73">IF(I349&gt;0,J349*100/I349,0)</f>
        <v>75.567567567567565</v>
      </c>
      <c r="L349" s="372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72"/>
      <c r="N349" s="372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3842709.0499999993</v>
      </c>
      <c r="O349" s="372">
        <f ca="1">+IF(L349&gt;0,N349*100/L349,0)</f>
        <v>72.436974306772967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70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790</v>
      </c>
      <c r="K350" s="371">
        <f t="shared" ca="1" si="73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4"/>
      <c r="N351" s="164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65"/>
      <c r="N352" s="164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3842709.0499999993</v>
      </c>
      <c r="O352" s="165">
        <f t="shared" ca="1" si="74"/>
        <v>72.436974306772967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68"/>
      <c r="N353" s="16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68">
        <f t="shared" ca="1" si="74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68"/>
      <c r="N354" s="167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3842709.0499999993</v>
      </c>
      <c r="O354" s="168">
        <f t="shared" ca="1" si="74"/>
        <v>72.436974306772967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831348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1214968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1226550.45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569842.6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13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13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3">
        <f t="shared" ref="K367:K373" ca="1" si="75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8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790</v>
      </c>
      <c r="K368" s="163">
        <f t="shared" ca="1" si="75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0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3">
        <f t="shared" ca="1" si="75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0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710</v>
      </c>
      <c r="K370" s="163">
        <f t="shared" ca="1" si="75"/>
        <v>89.87341772151899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8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3">
        <f t="shared" ca="1" si="75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8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750</v>
      </c>
      <c r="K372" s="163">
        <f t="shared" ca="1" si="75"/>
        <v>94.936708860759495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0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3">
        <f t="shared" ca="1" si="75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8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8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1398</v>
      </c>
      <c r="K375" s="163">
        <f t="shared" ref="K375:K377" ca="1" si="76">IF(I375&gt;0,J375*100/I375,0)</f>
        <v>75.567567567567565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8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671</v>
      </c>
      <c r="K376" s="163">
        <f t="shared" ca="1" si="76"/>
        <v>87.369791666666671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0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727</v>
      </c>
      <c r="K377" s="163">
        <f t="shared" ca="1" si="76"/>
        <v>67.190388170055456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2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70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1600</v>
      </c>
      <c r="K380" s="371">
        <f t="shared" ref="K380:K381" ca="1" si="77">IF(I380&gt;0,J380*100/I380,0)</f>
        <v>11.851851851851851</v>
      </c>
      <c r="L380" s="372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72"/>
      <c r="N380" s="372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4315004.589999998</v>
      </c>
      <c r="O380" s="372">
        <f ca="1">+IF(L380&gt;0,N380*100/L380,0)</f>
        <v>31.2561450312561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70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1370</v>
      </c>
      <c r="K381" s="371">
        <f t="shared" ca="1" si="77"/>
        <v>101.48148148148148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4"/>
      <c r="N382" s="164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5"/>
      <c r="N383" s="165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4315004.589999998</v>
      </c>
      <c r="O383" s="165">
        <f t="shared" ca="1" si="78"/>
        <v>31.2561450312561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68"/>
      <c r="N384" s="16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68">
        <f t="shared" ca="1" si="78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68"/>
      <c r="N385" s="167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4315004.589999998</v>
      </c>
      <c r="O385" s="168">
        <f t="shared" ca="1" si="78"/>
        <v>31.2561450312561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2495963.2000000002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375000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1036068.64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407972.75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17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15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16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1370</v>
      </c>
      <c r="K396" s="163">
        <f t="shared" ref="K396:K398" ca="1" si="79">IF(I396&gt;0,J396*100/I396,0)</f>
        <v>101.48148148148148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1600</v>
      </c>
      <c r="K397" s="163">
        <f t="shared" ca="1" si="79"/>
        <v>11.851851851851851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200</v>
      </c>
      <c r="K398" s="163">
        <f t="shared" ca="1" si="79"/>
        <v>14.814814814814815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70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2877</v>
      </c>
      <c r="K401" s="371">
        <f t="shared" ref="K401:K402" ca="1" si="80">IF(I401&gt;0,J401*100/I401,0)</f>
        <v>100.20898641588296</v>
      </c>
      <c r="L401" s="372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72"/>
      <c r="N401" s="372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2664363.9500000002</v>
      </c>
      <c r="O401" s="372">
        <f ca="1">+IF(L401&gt;0,N401*100/L401,0)</f>
        <v>82.577016413969233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70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939</v>
      </c>
      <c r="K402" s="371">
        <f t="shared" ca="1" si="80"/>
        <v>98.119122257053291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4"/>
      <c r="N403" s="16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68">
        <f t="shared" ref="O403:O406" ca="1" si="81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5"/>
      <c r="N404" s="16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2664363.9500000002</v>
      </c>
      <c r="O404" s="168">
        <f t="shared" ca="1" si="81"/>
        <v>82.577016413969233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68"/>
      <c r="N405" s="16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68">
        <f t="shared" ca="1" si="81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68"/>
      <c r="N406" s="16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2664363.9500000002</v>
      </c>
      <c r="O406" s="168">
        <f t="shared" ca="1" si="81"/>
        <v>82.577016413969233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1900067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423524.95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340772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17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15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14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939</v>
      </c>
      <c r="K416" s="201">
        <f t="shared" ref="K416:K432" ca="1" si="82">IF(I416&gt;0,J416*100/I416,0)</f>
        <v>98.119122257053291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91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200</v>
      </c>
      <c r="K417" s="201">
        <f t="shared" ca="1" si="82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92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600</v>
      </c>
      <c r="K418" s="201">
        <f t="shared" ca="1" si="82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393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200</v>
      </c>
      <c r="K419" s="163">
        <f t="shared" ca="1" si="82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393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200</v>
      </c>
      <c r="K420" s="288">
        <f t="shared" ca="1" si="82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91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554</v>
      </c>
      <c r="K421" s="201">
        <f t="shared" ca="1" si="82"/>
        <v>96.515679442508713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92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1722</v>
      </c>
      <c r="K422" s="201">
        <f t="shared" ca="1" si="82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393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574</v>
      </c>
      <c r="K423" s="163">
        <f t="shared" ca="1" si="82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393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574</v>
      </c>
      <c r="K424" s="163">
        <f t="shared" ca="1" si="82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393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554</v>
      </c>
      <c r="K425" s="163">
        <f t="shared" ca="1" si="82"/>
        <v>96.515679442508713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91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185</v>
      </c>
      <c r="K426" s="201">
        <f t="shared" ca="1" si="82"/>
        <v>101.09289617486338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92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555</v>
      </c>
      <c r="K427" s="201">
        <f t="shared" ca="1" si="82"/>
        <v>101.09289617486338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393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185</v>
      </c>
      <c r="K428" s="163">
        <f t="shared" ca="1" si="82"/>
        <v>101.09289617486338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393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185</v>
      </c>
      <c r="K429" s="163">
        <f t="shared" ca="1" si="82"/>
        <v>101.09289617486338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91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581</v>
      </c>
      <c r="K430" s="201">
        <f t="shared" ca="1" si="82"/>
        <v>75.064599483204134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393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135</v>
      </c>
      <c r="K431" s="163">
        <f t="shared" ca="1" si="82"/>
        <v>67.5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393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446</v>
      </c>
      <c r="K432" s="163">
        <f t="shared" ca="1" si="82"/>
        <v>77.700348432055748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09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489</v>
      </c>
      <c r="K435" s="410">
        <f ca="1">IF(I435&gt;0,J435*100/I435,0)</f>
        <v>100</v>
      </c>
      <c r="L435" s="411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2087200</v>
      </c>
      <c r="M435" s="411"/>
      <c r="N435" s="411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1571291.2899999998</v>
      </c>
      <c r="O435" s="411">
        <f t="shared" ref="O435:O439" ca="1" si="83">+IF(L435&gt;0,N435*100/L435,0)</f>
        <v>75.282258049060928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4"/>
      <c r="N436" s="16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68">
        <f t="shared" ca="1" si="83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2087200</v>
      </c>
      <c r="M437" s="165"/>
      <c r="N437" s="16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1571291.2899999998</v>
      </c>
      <c r="O437" s="168">
        <f t="shared" ca="1" si="83"/>
        <v>75.282258049060928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68"/>
      <c r="N438" s="16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68">
        <f t="shared" ca="1" si="83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2087200</v>
      </c>
      <c r="M439" s="168"/>
      <c r="N439" s="16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1571291.2899999998</v>
      </c>
      <c r="O439" s="168">
        <f t="shared" ca="1" si="83"/>
        <v>75.282258049060928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1122618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448673.29000000004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17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16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17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489</v>
      </c>
      <c r="K449" s="163">
        <f t="shared" ref="K449:K452" ca="1" si="84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8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360</v>
      </c>
      <c r="K450" s="163">
        <f t="shared" ca="1" si="84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8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129</v>
      </c>
      <c r="K451" s="163">
        <f t="shared" ca="1" si="84"/>
        <v>100</v>
      </c>
      <c r="L451" s="181"/>
      <c r="M451" s="181"/>
      <c r="N451" s="181"/>
      <c r="O451" s="181"/>
      <c r="P451" s="181"/>
    </row>
    <row r="452" spans="1:16" ht="21.75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414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3">
        <f t="shared" ca="1" si="84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799598</v>
      </c>
      <c r="J455" s="370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750850.27299999993</v>
      </c>
      <c r="K455" s="371">
        <f ca="1">IF(I455&gt;0,J455*100/I455,0)</f>
        <v>93.903470618986034</v>
      </c>
      <c r="L455" s="372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7887358</v>
      </c>
      <c r="M455" s="372"/>
      <c r="N455" s="372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3228977.08</v>
      </c>
      <c r="O455" s="372">
        <f t="shared" ref="O455:O459" ca="1" si="85">+IF(L455&gt;0,N455*100/L455,0)</f>
        <v>40.938639782801793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4"/>
      <c r="N456" s="16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68">
        <f t="shared" ca="1" si="85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7887358</v>
      </c>
      <c r="M457" s="165"/>
      <c r="N457" s="16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3228977.08</v>
      </c>
      <c r="O457" s="168">
        <f t="shared" ca="1" si="85"/>
        <v>40.938639782801793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68"/>
      <c r="N458" s="16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68">
        <f t="shared" ca="1" si="85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7887358</v>
      </c>
      <c r="M459" s="168"/>
      <c r="N459" s="16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3228977.08</v>
      </c>
      <c r="O459" s="168">
        <f t="shared" ca="1" si="85"/>
        <v>40.938639782801793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900912.34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2328064.7399999998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799598</v>
      </c>
      <c r="J464" s="267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750850.27299999993</v>
      </c>
      <c r="K464" s="268">
        <f t="shared" ref="K464:K515" ca="1" si="86">IF(I464&gt;0,J464*100/I464,0)</f>
        <v>93.903470618986034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799598</v>
      </c>
      <c r="J465" s="420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799652.22</v>
      </c>
      <c r="K465" s="201">
        <f t="shared" ca="1" si="86"/>
        <v>100.00678090740597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95173</v>
      </c>
      <c r="J466" s="420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95173</v>
      </c>
      <c r="K466" s="201">
        <f t="shared" ca="1" si="86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8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621324.86</v>
      </c>
      <c r="K467" s="163">
        <f t="shared" ca="1" si="86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8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78539</v>
      </c>
      <c r="K468" s="163">
        <f t="shared" ca="1" si="86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8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161048.07</v>
      </c>
      <c r="K469" s="163">
        <f t="shared" ca="1" si="86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8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14724</v>
      </c>
      <c r="K470" s="163">
        <f t="shared" ca="1" si="86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8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17279.29</v>
      </c>
      <c r="K471" s="163">
        <f t="shared" ca="1" si="86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8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1910</v>
      </c>
      <c r="K472" s="163">
        <f t="shared" ca="1" si="86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799598</v>
      </c>
      <c r="J473" s="420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799642.6399999999</v>
      </c>
      <c r="K473" s="201">
        <f t="shared" ca="1" si="86"/>
        <v>100.00558280535968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95173</v>
      </c>
      <c r="J474" s="420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95174</v>
      </c>
      <c r="K474" s="201">
        <f t="shared" ca="1" si="86"/>
        <v>100.00105071816587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8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661246.99000000011</v>
      </c>
      <c r="K475" s="163">
        <f t="shared" ca="1" si="86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8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81914</v>
      </c>
      <c r="K476" s="163">
        <f t="shared" ca="1" si="86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8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120875.84</v>
      </c>
      <c r="K477" s="163">
        <f t="shared" ca="1" si="86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8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11297</v>
      </c>
      <c r="K478" s="163">
        <f t="shared" ca="1" si="86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8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17519.810000000001</v>
      </c>
      <c r="K479" s="163">
        <f t="shared" ca="1" si="86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8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1963</v>
      </c>
      <c r="K480" s="163">
        <f t="shared" ca="1" si="86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799598</v>
      </c>
      <c r="J481" s="420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750850.27299999993</v>
      </c>
      <c r="K481" s="201">
        <f t="shared" ca="1" si="86"/>
        <v>93.903470618986034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95173</v>
      </c>
      <c r="J482" s="420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87816</v>
      </c>
      <c r="K482" s="201">
        <f t="shared" ca="1" si="86"/>
        <v>92.269866453721122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8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675720.77</v>
      </c>
      <c r="K483" s="163">
        <f t="shared" ca="1" si="86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8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80179</v>
      </c>
      <c r="K484" s="163">
        <f t="shared" ca="1" si="86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8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27665.72</v>
      </c>
      <c r="K485" s="163">
        <f t="shared" ca="1" si="86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8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2583</v>
      </c>
      <c r="K486" s="163">
        <f t="shared" ca="1" si="86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20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16479.393</v>
      </c>
      <c r="K487" s="163">
        <f t="shared" ca="1" si="86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20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1799</v>
      </c>
      <c r="K488" s="163">
        <f t="shared" ca="1" si="86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8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16061.433000000001</v>
      </c>
      <c r="K489" s="163">
        <f t="shared" ca="1" si="86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8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1752</v>
      </c>
      <c r="K490" s="163">
        <f t="shared" ca="1" si="86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8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417.96</v>
      </c>
      <c r="K491" s="163">
        <f t="shared" ca="1" si="86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8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47</v>
      </c>
      <c r="K492" s="163">
        <f t="shared" ca="1" si="86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8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30984.39</v>
      </c>
      <c r="K493" s="163">
        <f t="shared" ca="1" si="86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36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3255</v>
      </c>
      <c r="K494" s="288">
        <f t="shared" ca="1" si="86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36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63">
        <f t="shared" ca="1" si="86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36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88">
        <f t="shared" ca="1" si="86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45848</v>
      </c>
      <c r="J497" s="443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23609.27</v>
      </c>
      <c r="K497" s="444">
        <f t="shared" ca="1" si="86"/>
        <v>51.494656255452803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45848</v>
      </c>
      <c r="J498" s="420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23609.27</v>
      </c>
      <c r="K498" s="201">
        <f t="shared" ca="1" si="86"/>
        <v>51.494656255452803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3736</v>
      </c>
      <c r="J499" s="420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2009</v>
      </c>
      <c r="K499" s="201">
        <f t="shared" ca="1" si="86"/>
        <v>53.774089935760173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2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22346.25</v>
      </c>
      <c r="K500" s="163">
        <f t="shared" ca="1" si="86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2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1885</v>
      </c>
      <c r="K501" s="163">
        <f t="shared" ca="1" si="86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8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12383.95</v>
      </c>
      <c r="K502" s="163">
        <f t="shared" ca="1" si="86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1086</v>
      </c>
      <c r="K503" s="163">
        <f t="shared" ca="1" si="86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8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9936.2999999999993</v>
      </c>
      <c r="K504" s="163">
        <f t="shared" ca="1" si="86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798</v>
      </c>
      <c r="K505" s="163">
        <f t="shared" ca="1" si="86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8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26</v>
      </c>
      <c r="K506" s="163">
        <f t="shared" ca="1" si="86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1</v>
      </c>
      <c r="K507" s="163">
        <f t="shared" ca="1" si="86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2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678.02</v>
      </c>
      <c r="K508" s="163">
        <f t="shared" ca="1" si="86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2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65</v>
      </c>
      <c r="K509" s="163">
        <f t="shared" ca="1" si="86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554.02</v>
      </c>
      <c r="K510" s="163">
        <f t="shared" ca="1" si="86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51</v>
      </c>
      <c r="K511" s="163">
        <f t="shared" ca="1" si="86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124</v>
      </c>
      <c r="K512" s="163">
        <f t="shared" ca="1" si="86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14</v>
      </c>
      <c r="K513" s="163">
        <f t="shared" ca="1" si="86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585</v>
      </c>
      <c r="K514" s="163">
        <f t="shared" ca="1" si="86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59</v>
      </c>
      <c r="K515" s="163">
        <f t="shared" ca="1" si="86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7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84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84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8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8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8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8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8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5100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8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364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5100</v>
      </c>
      <c r="J525" s="284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3081.77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364</v>
      </c>
      <c r="J526" s="284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255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1001.53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62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1867.24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190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213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66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3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09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10">
        <f ca="1">IF(I533&gt;0,J533*100/I533,0)</f>
        <v>100</v>
      </c>
      <c r="L533" s="411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411"/>
      <c r="N533" s="411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451137</v>
      </c>
      <c r="O533" s="411">
        <f t="shared" ref="O533:O537" ca="1" si="87">+IF(L533&gt;0,N533*100/L533,0)</f>
        <v>75.732247775726037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4"/>
      <c r="N534" s="16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68">
        <f t="shared" ca="1" si="87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65"/>
      <c r="N535" s="16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451137</v>
      </c>
      <c r="O535" s="168">
        <f t="shared" ca="1" si="87"/>
        <v>75.732247775726037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68"/>
      <c r="N536" s="16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68">
        <f t="shared" ca="1" si="87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68"/>
      <c r="N537" s="16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451137</v>
      </c>
      <c r="O537" s="168">
        <f t="shared" ca="1" si="87"/>
        <v>75.732247775726037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326374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124763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8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63">
        <f t="shared" ref="K547:K548" ca="1" si="88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3">
        <f t="shared" ca="1" si="88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4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09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23409</v>
      </c>
      <c r="K551" s="410">
        <f ca="1">IF(I551&gt;0,J551*100/I551,0)</f>
        <v>93.635999999999996</v>
      </c>
      <c r="L551" s="411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11"/>
      <c r="N551" s="411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898213.54</v>
      </c>
      <c r="O551" s="411">
        <f t="shared" ref="O551:O555" ca="1" si="89">+IF(L551&gt;0,N551*100/L551,0)</f>
        <v>58.706767320261434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4"/>
      <c r="N552" s="16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68">
        <f t="shared" ca="1" si="89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5"/>
      <c r="N553" s="16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898213.54</v>
      </c>
      <c r="O553" s="168">
        <f t="shared" ca="1" si="89"/>
        <v>58.706767320261434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68"/>
      <c r="N554" s="16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68">
        <f t="shared" ca="1" si="89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68"/>
      <c r="N555" s="16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898213.54</v>
      </c>
      <c r="O555" s="168">
        <f t="shared" ca="1" si="89"/>
        <v>58.706767320261434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371407.11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526806.42999999993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2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23409</v>
      </c>
      <c r="K560" s="224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446.82444444444445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0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2306</v>
      </c>
      <c r="K561" s="224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70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68829</v>
      </c>
      <c r="K564" s="371">
        <f ca="1">IF(I564&gt;0,J564*100/I564,0)</f>
        <v>211.45622119815667</v>
      </c>
      <c r="L564" s="372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72"/>
      <c r="N564" s="372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1568403.6099999999</v>
      </c>
      <c r="O564" s="372">
        <f t="shared" ref="O564:O568" ca="1" si="90">+IF(L564&gt;0,N564*100/L564,0)</f>
        <v>65.839557796285717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4"/>
      <c r="N565" s="16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68">
        <f t="shared" ca="1" si="90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5"/>
      <c r="N566" s="16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1568403.6099999999</v>
      </c>
      <c r="O566" s="168">
        <f t="shared" ca="1" si="90"/>
        <v>65.839557796285717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68"/>
      <c r="N567" s="16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68">
        <f t="shared" ca="1" si="90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68"/>
      <c r="N568" s="16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1568403.6099999999</v>
      </c>
      <c r="O568" s="168">
        <f t="shared" ca="1" si="90"/>
        <v>65.839557796285717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1165132.1500000001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403271.45999999996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20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68829</v>
      </c>
      <c r="K573" s="201">
        <f ca="1">IF(I573&gt;0,J573*100/I573,0)</f>
        <v>211.45622119815667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0</v>
      </c>
      <c r="J575" s="19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101</v>
      </c>
      <c r="K575" s="163">
        <f t="shared" ref="K575:K579" ca="1" si="91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6183</v>
      </c>
      <c r="K576" s="163">
        <f t="shared" ca="1" si="91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8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61443</v>
      </c>
      <c r="K577" s="163">
        <f t="shared" ca="1" si="91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106</v>
      </c>
      <c r="K578" s="163">
        <f t="shared" ca="1" si="91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1097</v>
      </c>
      <c r="K579" s="163">
        <f t="shared" ca="1" si="91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1204</v>
      </c>
      <c r="J580" s="370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187</v>
      </c>
      <c r="K580" s="371">
        <f ca="1">IF(I580&gt;0,J580*100/I580,0)</f>
        <v>15.53156146179402</v>
      </c>
      <c r="L580" s="372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3293796</v>
      </c>
      <c r="M580" s="372"/>
      <c r="N580" s="372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958990.99</v>
      </c>
      <c r="O580" s="372">
        <f t="shared" ref="O580:O584" ca="1" si="92">+IF(L580&gt;0,N580*100/L580,0)</f>
        <v>29.115069360701149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4"/>
      <c r="N581" s="16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68">
        <f t="shared" ca="1" si="92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3293796</v>
      </c>
      <c r="M582" s="165"/>
      <c r="N582" s="16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958990.99</v>
      </c>
      <c r="O582" s="168">
        <f t="shared" ca="1" si="92"/>
        <v>29.115069360701149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68"/>
      <c r="N583" s="16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68">
        <f t="shared" ca="1" si="92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3293796</v>
      </c>
      <c r="M584" s="168"/>
      <c r="N584" s="16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958990.99</v>
      </c>
      <c r="O584" s="168">
        <f t="shared" ca="1" si="92"/>
        <v>29.115069360701149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374494.24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584496.75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1204</v>
      </c>
      <c r="J589" s="18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1139</v>
      </c>
      <c r="K589" s="163">
        <f t="shared" ref="K589:K596" ca="1" si="93">IF(I589&gt;0,J589*100/I589,0)</f>
        <v>94.60132890365449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8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816.2600000000001</v>
      </c>
      <c r="K590" s="480">
        <f t="shared" ca="1" si="93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1204</v>
      </c>
      <c r="J591" s="18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554</v>
      </c>
      <c r="K591" s="163">
        <f t="shared" ca="1" si="93"/>
        <v>46.013289036544847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8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351.2</v>
      </c>
      <c r="K592" s="342">
        <f t="shared" ca="1" si="93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1204</v>
      </c>
      <c r="J593" s="18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143</v>
      </c>
      <c r="K593" s="163">
        <f t="shared" ca="1" si="93"/>
        <v>11.877076411960132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8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93.449999999999989</v>
      </c>
      <c r="K594" s="342">
        <f t="shared" ca="1" si="93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1204</v>
      </c>
      <c r="J595" s="18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187</v>
      </c>
      <c r="K595" s="163">
        <f t="shared" ca="1" si="93"/>
        <v>15.53156146179402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41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102.83</v>
      </c>
      <c r="K596" s="487">
        <f t="shared" ca="1" si="93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1470</v>
      </c>
      <c r="J597" s="488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10">
        <f ca="1">IF(I597&gt;0,J597*100/I597,0)</f>
        <v>0</v>
      </c>
      <c r="L597" s="411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135050</v>
      </c>
      <c r="M597" s="411"/>
      <c r="N597" s="411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33506</v>
      </c>
      <c r="O597" s="411">
        <f t="shared" ref="O597:O601" ca="1" si="94">+IF(L597&gt;0,N597*100/L597,0)</f>
        <v>24.810070344316919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4"/>
      <c r="N598" s="16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68">
        <f t="shared" ca="1" si="94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135050</v>
      </c>
      <c r="M599" s="165"/>
      <c r="N599" s="16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33506</v>
      </c>
      <c r="O599" s="168">
        <f t="shared" ca="1" si="94"/>
        <v>24.810070344316919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68"/>
      <c r="N600" s="16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68">
        <f t="shared" ca="1" si="94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135050</v>
      </c>
      <c r="M601" s="168"/>
      <c r="N601" s="16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33506</v>
      </c>
      <c r="O601" s="168">
        <f t="shared" ca="1" si="94"/>
        <v>24.810070344316919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32306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17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1470</v>
      </c>
      <c r="J611" s="162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3">
        <f t="shared" ref="K611:K619" ca="1" si="95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1671.75</v>
      </c>
      <c r="K612" s="163">
        <f t="shared" ca="1" si="95"/>
        <v>113.72448979591837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1275.75</v>
      </c>
      <c r="K613" s="163">
        <f t="shared" ca="1" si="95"/>
        <v>86.785714285714292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399.75</v>
      </c>
      <c r="K614" s="163">
        <f t="shared" ca="1" si="95"/>
        <v>27.193877551020407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399.75</v>
      </c>
      <c r="K615" s="163">
        <f t="shared" ca="1" si="95"/>
        <v>27.193877551020407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0</v>
      </c>
      <c r="K616" s="163">
        <f t="shared" ca="1" si="95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8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3">
        <f t="shared" ca="1" si="95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8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3">
        <f t="shared" ca="1" si="95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8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3">
        <f t="shared" ca="1" si="95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0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3">
        <f t="shared" ref="K620:K626" ca="1" si="96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0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3">
        <f t="shared" ca="1" si="96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8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3">
        <f t="shared" ca="1" si="96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8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3">
        <f t="shared" ca="1" si="96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8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0</v>
      </c>
      <c r="K624" s="163">
        <f t="shared" ca="1" si="96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8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3">
        <f t="shared" ca="1" si="96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8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3">
        <f t="shared" ca="1" si="96"/>
        <v>2.5018764073054789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96093011.260000005</v>
      </c>
      <c r="J628" s="341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64014343.699999996</v>
      </c>
      <c r="K628" s="342">
        <f t="shared" ref="K628:K635" ca="1" si="97">IF(I628&gt;0,J628*100/I628,0)</f>
        <v>66.617064925560115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4838</v>
      </c>
      <c r="J629" s="341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3505</v>
      </c>
      <c r="K629" s="342">
        <f t="shared" ca="1" si="97"/>
        <v>72.447292269532866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111876079.07000001</v>
      </c>
      <c r="J630" s="341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11777398.289999999</v>
      </c>
      <c r="K630" s="342">
        <f t="shared" ca="1" si="97"/>
        <v>10.527181849688326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41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2022</v>
      </c>
      <c r="K631" s="342">
        <f t="shared" ca="1" si="97"/>
        <v>46.080218778486781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76453605.469999984</v>
      </c>
      <c r="J632" s="341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22380013.789999999</v>
      </c>
      <c r="K632" s="342">
        <f t="shared" ca="1" si="97"/>
        <v>29.272672822188625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6326</v>
      </c>
      <c r="J633" s="341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3501</v>
      </c>
      <c r="K633" s="342">
        <f t="shared" ca="1" si="97"/>
        <v>55.343028770154916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86535000</v>
      </c>
      <c r="J634" s="341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60438000</v>
      </c>
      <c r="K634" s="342">
        <f t="shared" ca="1" si="97"/>
        <v>69.842260357080946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2615</v>
      </c>
      <c r="J635" s="505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1755</v>
      </c>
      <c r="K635" s="487">
        <f t="shared" ca="1" si="97"/>
        <v>67.112810707456973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270145</v>
      </c>
      <c r="M636" s="511"/>
      <c r="N636" s="510">
        <f ca="1">SUM(N637:N638)</f>
        <v>26906</v>
      </c>
      <c r="O636" s="510">
        <f t="shared" ref="O636:O640" ca="1" si="98">+IF(L636&gt;0,N636*100/L636,0)</f>
        <v>9.9598363841640598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98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270145</v>
      </c>
      <c r="M638" s="521"/>
      <c r="N638" s="522">
        <f ca="1">SUM(N639:N640)</f>
        <v>26906</v>
      </c>
      <c r="O638" s="522">
        <f t="shared" ca="1" si="98"/>
        <v>9.9598363841640598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98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270145</v>
      </c>
      <c r="M640" s="521"/>
      <c r="N640" s="522">
        <f ca="1">SUM(N641:N644)</f>
        <v>26906</v>
      </c>
      <c r="O640" s="522">
        <f t="shared" ca="1" si="98"/>
        <v>9.9598363841640598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26906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กำแพงเพชร!J646+เชียงราย!J646+เชียงใหม่!J646+ตาก!J646+นครสวรรค์!J646+น่าน!J646+พะเยา!J646+พิจิตร!J646+พิษณุโลก!J646+เพชรบูรณ์!J646+แพร่!J646+แม่ฮ่องสอน!J646+ลำปาง!J646+ลำพูน!J646+สุโขทัย!J646+อุตรดิตถ์!J646+อุทัยธานี!J646</f>
        <v>1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กำแพงเพชร!J647+เชียงราย!J647+เชียงใหม่!J647+ตาก!J647+นครสวรรค์!J647+น่าน!J647+พะเยา!J647+พิจิตร!J647+พิษณุโลก!J647+เพชรบูรณ์!J647+แพร่!J647+แม่ฮ่องสอน!J647+ลำปาง!J647+ลำพูน!J647+สุโขทัย!J647+อุตรดิตถ์!J647+อุทัยธานี!J647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กำแพงเพชร!I648+เชียงราย!I648+เชียงใหม่!I648+ตาก!I648+นครสวรรค์!I648+น่าน!I648+พะเยา!I648+พิจิตร!I648+พิษณุโลก!I648+เพชรบูรณ์!I648+แพร่!I648+แม่ฮ่องสอน!I648+ลำปาง!I648+ลำพูน!I648+สุโขทัย!I648+อุตรดิตถ์!I648+อุทัยธานี!I648</f>
        <v>123</v>
      </c>
      <c r="J648" s="536">
        <f ca="1">กำแพงเพชร!J648+เชียงราย!J648+เชียงใหม่!J648+ตาก!J648+นครสวรรค์!J648+น่าน!J648+พะเยา!J648+พิจิตร!J648+พิษณุโลก!J648+เพชรบูรณ์!J648+แพร่!J648+แม่ฮ่องสอน!J648+ลำปาง!J648+ลำพูน!J648+สุโขทัย!J648+อุตรดิตถ์!J648+อุทัยธานี!J648</f>
        <v>52.44</v>
      </c>
      <c r="K648" s="537">
        <f t="shared" ref="K648:K651" ca="1" si="99">IF(I648&gt;0,J648*100/I648,0)</f>
        <v>42.634146341463413</v>
      </c>
      <c r="L648" s="522">
        <f ca="1">กำแพงเพชร!L648+เชียงราย!L648+เชียงใหม่!L648+ตาก!L648+นครสวรรค์!L648+น่าน!L648+พะเยา!L648+พิจิตร!L648+พิษณุโลก!L648+เพชรบูรณ์!L648+แพร่!L648+แม่ฮ่องสอน!L648+ลำปาง!L648+ลำพูน!L648+สุโขทัย!L648+อุตรดิตถ์!L648+อุทัยธานี!L648</f>
        <v>9840</v>
      </c>
      <c r="M648" s="521"/>
      <c r="N648" s="538">
        <f ca="1">กำแพงเพชร!N648+เชียงราย!N648+เชียงใหม่!N648+ตาก!N648+นครสวรรค์!N648+น่าน!N648+พะเยา!N648+พิจิตร!N648+พิษณุโลก!N648+เพชรบูรณ์!N648+แพร่!N648+แม่ฮ่องสอน!N648+ลำปาง!N648+ลำพูน!N648+สุโขทัย!N648+อุตรดิตถ์!N648+อุทัยธานี!N648</f>
        <v>0</v>
      </c>
      <c r="O648" s="537">
        <f t="shared" ref="O648:O651" ca="1" si="100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กำแพงเพชร!I649+เชียงราย!I649+เชียงใหม่!I649+ตาก!I649+นครสวรรค์!I649+น่าน!I649+พะเยา!I649+พิจิตร!I649+พิษณุโลก!I649+เพชรบูรณ์!I649+แพร่!I649+แม่ฮ่องสอน!I649+ลำปาง!I649+ลำพูน!I649+สุโขทัย!I649+อุตรดิตถ์!I649+อุทัยธานี!I649</f>
        <v>57</v>
      </c>
      <c r="J649" s="536">
        <f ca="1">กำแพงเพชร!J649+เชียงราย!J649+เชียงใหม่!J649+ตาก!J649+นครสวรรค์!J649+น่าน!J649+พะเยา!J649+พิจิตร!J649+พิษณุโลก!J649+เพชรบูรณ์!J649+แพร่!J649+แม่ฮ่องสอน!J649+ลำปาง!J649+ลำพูน!J649+สุโขทัย!J649+อุตรดิตถ์!J649+อุทัยธานี!J649</f>
        <v>0</v>
      </c>
      <c r="K649" s="537">
        <f t="shared" ca="1" si="99"/>
        <v>0</v>
      </c>
      <c r="L649" s="522">
        <f ca="1">กำแพงเพชร!L649+เชียงราย!L649+เชียงใหม่!L649+ตาก!L649+นครสวรรค์!L649+น่าน!L649+พะเยา!L649+พิจิตร!L649+พิษณุโลก!L649+เพชรบูรณ์!L649+แพร่!L649+แม่ฮ่องสอน!L649+ลำปาง!L649+ลำพูน!L649+สุโขทัย!L649+อุตรดิตถ์!L649+อุทัยธานี!L649</f>
        <v>6840</v>
      </c>
      <c r="M649" s="521"/>
      <c r="N649" s="538">
        <f ca="1">กำแพงเพชร!N649+เชียงราย!N649+เชียงใหม่!N649+ตาก!N649+นครสวรรค์!N649+น่าน!N649+พะเยา!N649+พิจิตร!N649+พิษณุโลก!N649+เพชรบูรณ์!N649+แพร่!N649+แม่ฮ่องสอน!N649+ลำปาง!N649+ลำพูน!N649+สุโขทัย!N649+อุตรดิตถ์!N649+อุทัยธานี!N649</f>
        <v>0</v>
      </c>
      <c r="O649" s="537">
        <f t="shared" ca="1" si="100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กำแพงเพชร!I650+เชียงราย!I650+เชียงใหม่!I650+ตาก!I650+นครสวรรค์!I650+น่าน!I650+พะเยา!I650+พิจิตร!I650+พิษณุโลก!I650+เพชรบูรณ์!I650+แพร่!I650+แม่ฮ่องสอน!I650+ลำปาง!I650+ลำพูน!I650+สุโขทัย!I650+อุตรดิตถ์!I650+อุทัยธานี!I650</f>
        <v>1974</v>
      </c>
      <c r="J650" s="536">
        <f ca="1">กำแพงเพชร!J650+เชียงราย!J650+เชียงใหม่!J650+ตาก!J650+นครสวรรค์!J650+น่าน!J650+พะเยา!J650+พิจิตร!J650+พิษณุโลก!J650+เพชรบูรณ์!J650+แพร่!J650+แม่ฮ่องสอน!J650+ลำปาง!J650+ลำพูน!J650+สุโขทัย!J650+อุตรดิตถ์!J650+อุทัยธานี!J650</f>
        <v>55.75</v>
      </c>
      <c r="K650" s="537">
        <f t="shared" ca="1" si="99"/>
        <v>2.8242147922998986</v>
      </c>
      <c r="L650" s="522">
        <f ca="1">กำแพงเพชร!L650+เชียงราย!L650+เชียงใหม่!L650+ตาก!L650+นครสวรรค์!L650+น่าน!L650+พะเยา!L650+พิจิตร!L650+พิษณุโลก!L650+เพชรบูรณ์!L650+แพร่!L650+แม่ฮ่องสอน!L650+ลำปาง!L650+ลำพูน!L650+สุโขทัย!L650+อุตรดิตถ์!L650+อุทัยธานี!L650</f>
        <v>9870</v>
      </c>
      <c r="M650" s="521"/>
      <c r="N650" s="538">
        <f ca="1">กำแพงเพชร!N650+เชียงราย!N650+เชียงใหม่!N650+ตาก!N650+นครสวรรค์!N650+น่าน!N650+พะเยา!N650+พิจิตร!N650+พิษณุโลก!N650+เพชรบูรณ์!N650+แพร่!N650+แม่ฮ่องสอน!N650+ลำปาง!N650+ลำพูน!N650+สุโขทัย!N650+อุตรดิตถ์!N650+อุทัยธานี!N650</f>
        <v>0</v>
      </c>
      <c r="O650" s="537">
        <f t="shared" ca="1" si="100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กำแพงเพชร!I651+เชียงราย!I651+เชียงใหม่!I651+ตาก!I651+นครสวรรค์!I651+น่าน!I651+พะเยา!I651+พิจิตร!I651+พิษณุโลก!I651+เพชรบูรณ์!I651+แพร่!I651+แม่ฮ่องสอน!I651+ลำปาง!I651+ลำพูน!I651+สุโขทัย!I651+อุตรดิตถ์!I651+อุทัยธานี!I651</f>
        <v>1795</v>
      </c>
      <c r="J651" s="536">
        <f ca="1">J657+J660</f>
        <v>820</v>
      </c>
      <c r="K651" s="537">
        <f t="shared" ca="1" si="99"/>
        <v>45.682451253481894</v>
      </c>
      <c r="L651" s="522">
        <f ca="1">กำแพงเพชร!L651+เชียงราย!L651+เชียงใหม่!L651+ตาก!L651+นครสวรรค์!L651+น่าน!L651+พะเยา!L651+พิจิตร!L651+พิษณุโลก!L651+เพชรบูรณ์!L651+แพร่!L651+แม่ฮ่องสอน!L651+ลำปาง!L651+ลำพูน!L651+สุโขทัย!L651+อุตรดิตถ์!L651+อุทัยธานี!L651</f>
        <v>44875</v>
      </c>
      <c r="M651" s="521"/>
      <c r="N651" s="538">
        <f ca="1">กำแพงเพชร!N651+เชียงราย!N651+เชียงใหม่!N651+ตาก!N651+นครสวรรค์!N651+น่าน!N651+พะเยา!N651+พิจิตร!N651+พิษณุโลก!N651+เพชรบูรณ์!N651+แพร่!N651+แม่ฮ่องสอน!N651+ลำปาง!N651+ลำพูน!N651+สุโขทัย!N651+อุตรดิตถ์!N651+อุทัยธานี!N651</f>
        <v>7400</v>
      </c>
      <c r="O651" s="537">
        <f t="shared" ca="1" si="100"/>
        <v>16.49025069637883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กำแพงเพชร!J652+เชียงราย!J652+เชียงใหม่!J652+ตาก!J652+นครสวรรค์!J652+น่าน!J652+พะเยา!J652+พิจิตร!J652+พิษณุโลก!J652+เพชรบูรณ์!J652+แพร่!J652+แม่ฮ่องสอน!J652+ลำปาง!J652+ลำพูน!J652+สุโขทัย!J652+อุตรดิตถ์!J652+อุทัยธานี!J652</f>
        <v>34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กำแพงเพชร!J653+เชียงราย!J653+เชียงใหม่!J653+ตาก!J653+นครสวรรค์!J653+น่าน!J653+พะเยา!J653+พิจิตร!J653+พิษณุโลก!J653+เพชรบูรณ์!J653+แพร่!J653+แม่ฮ่องสอน!J653+ลำปาง!J653+ลำพูน!J653+สุโขทัย!J653+อุตรดิตถ์!J653+อุทัยธานี!J653</f>
        <v>820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กำแพงเพชร!J655+เชียงราย!J655+เชียงใหม่!J655+ตาก!J655+นครสวรรค์!J655+น่าน!J655+พะเยา!J655+พิจิตร!J655+พิษณุโลก!J655+เพชรบูรณ์!J655+แพร่!J655+แม่ฮ่องสอน!J655+ลำปาง!J655+ลำพูน!J655+สุโขทัย!J655+อุตรดิตถ์!J655+อุทัยธานี!J655</f>
        <v>38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กำแพงเพชร!J656+เชียงราย!J656+เชียงใหม่!J656+ตาก!J656+นครสวรรค์!J656+น่าน!J656+พะเยา!J656+พิจิตร!J656+พิษณุโลก!J656+เพชรบูรณ์!J656+แพร่!J656+แม่ฮ่องสอน!J656+ลำปาง!J656+ลำพูน!J656+สุโขทัย!J656+อุตรดิตถ์!J656+อุทัยธานี!J656</f>
        <v>40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กำแพงเพชร!J657+เชียงราย!J657+เชียงใหม่!J657+ตาก!J657+นครสวรรค์!J657+น่าน!J657+พะเยา!J657+พิจิตร!J657+พิษณุโลก!J657+เพชรบูรณ์!J657+แพร่!J657+แม่ฮ่องสอน!J657+ลำปาง!J657+ลำพูน!J657+สุโขทัย!J657+อุตรดิตถ์!J657+อุทัยธานี!J657</f>
        <v>820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กำแพงเพชร!J658+เชียงราย!J658+เชียงใหม่!J658+ตาก!J658+นครสวรรค์!J658+น่าน!J658+พะเยา!J658+พิจิตร!J658+พิษณุโลก!J658+เพชรบูรณ์!J658+แพร่!J658+แม่ฮ่องสอน!J658+ลำปาง!J658+ลำพูน!J658+สุโขทัย!J658+อุตรดิตถ์!J658+อุทัยธานี!J658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กำแพงเพชร!J659+เชียงราย!J659+เชียงใหม่!J659+ตาก!J659+นครสวรรค์!J659+น่าน!J659+พะเยา!J659+พิจิตร!J659+พิษณุโลก!J659+เพชรบูรณ์!J659+แพร่!J659+แม่ฮ่องสอน!J659+ลำปาง!J659+ลำพูน!J659+สุโขทัย!J659+อุตรดิตถ์!J659+อุทัยธานี!J659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กำแพงเพชร!J660+เชียงราย!J660+เชียงใหม่!J660+ตาก!J660+นครสวรรค์!J660+น่าน!J660+พะเยา!J660+พิจิตร!J660+พิษณุโลก!J660+เพชรบูรณ์!J660+แพร่!J660+แม่ฮ่องสอน!J660+ลำปาง!J660+ลำพูน!J660+สุโขทัย!J660+อุตรดิตถ์!J660+อุทัยธานี!J660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กำแพงเพชร!J661+เชียงราย!J661+เชียงใหม่!J661+ตาก!J661+นครสวรรค์!J661+น่าน!J661+พะเยา!J661+พิจิตร!J661+พิษณุโลก!J661+เพชรบูรณ์!J661+แพร่!J661+แม่ฮ่องสอน!J661+ลำปาง!J661+ลำพูน!J661+สุโขทัย!J661+อุตรดิตถ์!J661+อุทัยธานี!J661</f>
        <v>72</v>
      </c>
      <c r="K661" s="537"/>
      <c r="L661" s="522">
        <f ca="1">กำแพงเพชร!L661+เชียงราย!L661+เชียงใหม่!L661+ตาก!L661+นครสวรรค์!L661+น่าน!L661+พะเยา!L661+พิจิตร!L661+พิษณุโลก!L661+เพชรบูรณ์!L661+แพร่!L661+แม่ฮ่องสอน!L661+ลำปาง!L661+ลำพูน!L661+สุโขทัย!L661+อุตรดิตถ์!L661+อุทัยธานี!L661</f>
        <v>167080</v>
      </c>
      <c r="M661" s="521"/>
      <c r="N661" s="538">
        <f ca="1">กำแพงเพชร!N661+เชียงราย!N661+เชียงใหม่!N661+ตาก!N661+นครสวรรค์!N661+น่าน!N661+พะเยา!N661+พิจิตร!N661+พิษณุโลก!N661+เพชรบูรณ์!N661+แพร่!N661+แม่ฮ่องสอน!N661+ลำปาง!N661+ลำพูน!N661+สุโขทัย!N661+อุตรดิตถ์!N661+อุทัยธานี!N661</f>
        <v>19506</v>
      </c>
      <c r="O661" s="537">
        <f ca="1">IF(L661&gt;0,N661*100/L661,0)</f>
        <v>11.674646875748145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กำแพงเพชร!J662+เชียงราย!J662+เชียงใหม่!J662+ตาก!J662+นครสวรรค์!J662+น่าน!J662+พะเยา!J662+พิจิตร!J662+พิษณุโลก!J662+เพชรบูรณ์!J662+แพร่!J662+แม่ฮ่องสอน!J662+ลำปาง!J662+ลำพูน!J662+สุโขทัย!J662+อุตรดิตถ์!J662+อุทัยธานี!J662</f>
        <v>77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กำแพงเพชร!I663+เชียงราย!I663+เชียงใหม่!I663+ตาก!I663+นครสวรรค์!I663+น่าน!I663+พะเยา!I663+พิจิตร!I663+พิษณุโลก!I663+เพชรบูรณ์!I663+แพร่!I663+แม่ฮ่องสอน!I663+ลำปาง!I663+ลำพูน!I663+สุโขทัย!I663+อุตรดิตถ์!I663+อุทัยธานี!I663</f>
        <v>4177</v>
      </c>
      <c r="J663" s="536">
        <f ca="1">กำแพงเพชร!J663+เชียงราย!J663+เชียงใหม่!J663+ตาก!J663+นครสวรรค์!J663+น่าน!J663+พะเยา!J663+พิจิตร!J663+พิษณุโลก!J663+เพชรบูรณ์!J663+แพร่!J663+แม่ฮ่องสอน!J663+ลำปาง!J663+ลำพูน!J663+สุโขทัย!J663+อุตรดิตถ์!J663+อุทัยธานี!J663</f>
        <v>1363.28</v>
      </c>
      <c r="K663" s="537">
        <f ca="1">IF(I663&gt;0,J663*100/I663,0)</f>
        <v>32.637778309791713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กำแพงเพชร!I665+เชียงราย!I665+เชียงใหม่!I665+ตาก!I665+นครสวรรค์!I665+น่าน!I665+พะเยา!I665+พิจิตร!I665+พิษณุโลก!I665+เพชรบูรณ์!I665+แพร่!I665+แม่ฮ่องสอน!I665+ลำปาง!I665+ลำพูน!I665+สุโขทัย!I665+อุตรดิตถ์!I665+อุทัยธานี!I665</f>
        <v>74</v>
      </c>
      <c r="J665" s="536">
        <f ca="1">กำแพงเพชร!J665+เชียงราย!J665+เชียงใหม่!J665+ตาก!J665+นครสวรรค์!J665+น่าน!J665+พะเยา!J665+พิจิตร!J665+พิษณุโลก!J665+เพชรบูรณ์!J665+แพร่!J665+แม่ฮ่องสอน!J665+ลำปาง!J665+ลำพูน!J665+สุโขทัย!J665+อุตรดิตถ์!J665+อุทัยธานี!J665</f>
        <v>8</v>
      </c>
      <c r="K665" s="537">
        <f ca="1">IF(I665&gt;0,J665*100/I665,0)</f>
        <v>10.810810810810811</v>
      </c>
      <c r="L665" s="522">
        <f ca="1">กำแพงเพชร!L665+เชียงราย!L665+เชียงใหม่!L665+ตาก!L665+นครสวรรค์!L665+น่าน!L665+พะเยา!L665+พิจิตร!L665+พิษณุโลก!L665+เพชรบูรณ์!L665+แพร่!L665+แม่ฮ่องสอน!L665+ลำปาง!L665+ลำพูน!L665+สุโขทัย!L665+อุตรดิตถ์!L665+อุทัยธานี!L665</f>
        <v>8880</v>
      </c>
      <c r="M665" s="521"/>
      <c r="N665" s="538">
        <f ca="1">กำแพงเพชร!N665+เชียงราย!N665+เชียงใหม่!N665+ตาก!N665+นครสวรรค์!N665+น่าน!N665+พะเยา!N665+พิจิตร!N665+พิษณุโลก!N665+เพชรบูรณ์!N665+แพร่!N665+แม่ฮ่องสอน!N665+ลำปาง!N665+ลำพูน!N665+สุโขทัย!N665+อุตรดิตถ์!N665+อุทัยธานี!N665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กำแพงเพชร!J666+เชียงราย!J666+เชียงใหม่!J666+ตาก!J666+นครสวรรค์!J666+น่าน!J666+พะเยา!J666+พิจิตร!J666+พิษณุโลก!J666+เพชรบูรณ์!J666+แพร่!J666+แม่ฮ่องสอน!J666+ลำปาง!J666+ลำพูน!J666+สุโขทัย!J666+อุตรดิตถ์!J666+อุทัยธานี!J666</f>
        <v>8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กำแพงเพชร!J667+เชียงราย!J667+เชียงใหม่!J667+ตาก!J667+นครสวรรค์!J667+น่าน!J667+พะเยา!J667+พิจิตร!J667+พิษณุโลก!J667+เพชรบูรณ์!J667+แพร่!J667+แม่ฮ่องสอน!J667+ลำปาง!J667+ลำพูน!J667+สุโขทัย!J667+อุตรดิตถ์!J667+อุทัยธานี!J667</f>
        <v>179.88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กำแพงเพชร!I668+เชียงราย!I668+เชียงใหม่!I668+ตาก!I668+นครสวรรค์!I668+น่าน!I668+พะเยา!I668+พิจิตร!I668+พิษณุโลก!I668+เพชรบูรณ์!I668+แพร่!I668+แม่ฮ่องสอน!I668+ลำปาง!I668+ลำพูน!I668+สุโขทัย!I668+อุตรดิตถ์!I668+อุทัยธานี!I668</f>
        <v>13</v>
      </c>
      <c r="J668" s="536">
        <f ca="1">กำแพงเพชร!J668+เชียงราย!J668+เชียงใหม่!J668+ตาก!J668+นครสวรรค์!J668+น่าน!J668+พะเยา!J668+พิจิตร!J668+พิษณุโลก!J668+เพชรบูรณ์!J668+แพร่!J668+แม่ฮ่องสอน!J668+ลำปาง!J668+ลำพูน!J668+สุโขทัย!J668+อุตรดิตถ์!J668+อุทัยธานี!J668</f>
        <v>0</v>
      </c>
      <c r="K668" s="537">
        <f ca="1">IF(I668&gt;0,J668*100/I668,0)</f>
        <v>0</v>
      </c>
      <c r="L668" s="522">
        <f ca="1">กำแพงเพชร!L668+เชียงราย!L668+เชียงใหม่!L668+ตาก!L668+นครสวรรค์!L668+น่าน!L668+พะเยา!L668+พิจิตร!L668+พิษณุโลก!L668+เพชรบูรณ์!L668+แพร่!L668+แม่ฮ่องสอน!L668+ลำปาง!L668+ลำพูน!L668+สุโขทัย!L668+อุตรดิตถ์!L668+อุทัยธานี!L668</f>
        <v>12520</v>
      </c>
      <c r="M668" s="521"/>
      <c r="N668" s="538">
        <f ca="1">กำแพงเพชร!N668+เชียงราย!N668+เชียงใหม่!N668+ตาก!N668+นครสวรรค์!N668+น่าน!N668+พะเยา!N668+พิจิตร!N668+พิษณุโลก!N668+เพชรบูรณ์!N668+แพร่!N668+แม่ฮ่องสอน!N668+ลำปาง!N668+ลำพูน!N668+สุโขทัย!N668+อุตรดิตถ์!N668+อุทัยธานี!N668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กำแพงเพชร!J669+เชียงราย!J669+เชียงใหม่!J669+ตาก!J669+นครสวรรค์!J669+น่าน!J669+พะเยา!J669+พิจิตร!J669+พิษณุโลก!J669+เพชรบูรณ์!J669+แพร่!J669+แม่ฮ่องสอน!J669+ลำปาง!J669+ลำพูน!J669+สุโขทัย!J669+อุตรดิตถ์!J669+อุทัยธานี!J669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กำแพงเพชร!J670+เชียงราย!J670+เชียงใหม่!J670+ตาก!J670+นครสวรรค์!J670+น่าน!J670+พะเยา!J670+พิจิตร!J670+พิษณุโลก!J670+เพชรบูรณ์!J670+แพร่!J670+แม่ฮ่องสอน!J670+ลำปาง!J670+ลำพูน!J670+สุโขทัย!J670+อุตรดิตถ์!J670+อุทัยธานี!J670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กำแพงเพชร!I671+เชียงราย!I671+เชียงใหม่!I671+ตาก!I671+นครสวรรค์!I671+น่าน!I671+พะเยา!I671+พิจิตร!I671+พิษณุโลก!I671+เพชรบูรณ์!I671+แพร่!I671+แม่ฮ่องสอน!I671+ลำปาง!I671+ลำพูน!I671+สุโขทัย!I671+อุตรดิตถ์!I671+อุทัยธานี!I671</f>
        <v>128</v>
      </c>
      <c r="J671" s="536">
        <f ca="1">J674+J677</f>
        <v>0</v>
      </c>
      <c r="K671" s="537">
        <f ca="1">IF(I671&gt;0,J671*100/I671,0)</f>
        <v>0</v>
      </c>
      <c r="L671" s="522">
        <f ca="1">กำแพงเพชร!L671+เชียงราย!L671+เชียงใหม่!L671+ตาก!L671+นครสวรรค์!L671+น่าน!L671+พะเยา!L671+พิจิตร!L671+พิษณุโลก!L671+เพชรบูรณ์!L671+แพร่!L671+แม่ฮ่องสอน!L671+ลำปาง!L671+ลำพูน!L671+สุโขทัย!L671+อุตรดิตถ์!L671+อุทัยธานี!L671</f>
        <v>10240</v>
      </c>
      <c r="M671" s="521"/>
      <c r="N671" s="538">
        <f ca="1">กำแพงเพชร!N671+เชียงราย!N671+เชียงใหม่!N671+ตาก!N671+นครสวรรค์!N671+น่าน!N671+พะเยา!N671+พิจิตร!N671+พิษณุโลก!N671+เพชรบูรณ์!N671+แพร่!N671+แม่ฮ่องสอน!N671+ลำปาง!N671+ลำพูน!N671+สุโขทัย!N671+อุตรดิตถ์!N671+อุทัยธานี!N671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กำแพงเพชร!J672+เชียงราย!J672+เชียงใหม่!J672+ตาก!J672+นครสวรรค์!J672+น่าน!J672+พะเยา!J672+พิจิตร!J672+พิษณุโลก!J672+เพชรบูรณ์!J672+แพร่!J672+แม่ฮ่องสอน!J672+ลำปาง!J672+ลำพูน!J672+สุโขทัย!J672+อุตรดิตถ์!J672+อุทัยธานี!J672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กำแพงเพชร!J673+เชียงราย!J673+เชียงใหม่!J673+ตาก!J673+นครสวรรค์!J673+น่าน!J673+พะเยา!J673+พิจิตร!J673+พิษณุโลก!J673+เพชรบูรณ์!J673+แพร่!J673+แม่ฮ่องสอน!J673+ลำปาง!J673+ลำพูน!J673+สุโขทัย!J673+อุตรดิตถ์!J673+อุทัยธานี!J673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กำแพงเพชร!J674+เชียงราย!J674+เชียงใหม่!J674+ตาก!J674+นครสวรรค์!J674+น่าน!J674+พะเยา!J674+พิจิตร!J674+พิษณุโลก!J674+เพชรบูรณ์!J674+แพร่!J674+แม่ฮ่องสอน!J674+ลำปาง!J674+ลำพูน!J674+สุโขทัย!J674+อุตรดิตถ์!J674+อุทัยธานี!J674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กำแพงเพชร!J675+เชียงราย!J675+เชียงใหม่!J675+ตาก!J675+นครสวรรค์!J675+น่าน!J675+พะเยา!J675+พิจิตร!J675+พิษณุโลก!J675+เพชรบูรณ์!J675+แพร่!J675+แม่ฮ่องสอน!J675+ลำปาง!J675+ลำพูน!J675+สุโขทัย!J675+อุตรดิตถ์!J675+อุทัยธานี!J675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กำแพงเพชร!J676+เชียงราย!J676+เชียงใหม่!J676+ตาก!J676+นครสวรรค์!J676+น่าน!J676+พะเยา!J676+พิจิตร!J676+พิษณุโลก!J676+เพชรบูรณ์!J676+แพร่!J676+แม่ฮ่องสอน!J676+ลำปาง!J676+ลำพูน!J676+สุโขทัย!J676+อุตรดิตถ์!J676+อุทัยธานี!J676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กำแพงเพชร!J677+เชียงราย!J677+เชียงใหม่!J677+ตาก!J677+นครสวรรค์!J677+น่าน!J677+พะเยา!J677+พิจิตร!J677+พิษณุโลก!J677+เพชรบูรณ์!J677+แพร่!J677+แม่ฮ่องสอน!J677+ลำปาง!J677+ลำพูน!J677+สุโขทัย!J677+อุตรดิตถ์!J677+อุทัยธานี!J677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A3:P3"/>
    <mergeCell ref="A2:P2"/>
    <mergeCell ref="A1:P1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276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6983269</v>
      </c>
      <c r="M8" s="23">
        <f t="shared" ca="1" si="0"/>
        <v>4406981</v>
      </c>
      <c r="N8" s="23">
        <f t="shared" ca="1" si="0"/>
        <v>4299612.9299999988</v>
      </c>
      <c r="O8" s="22">
        <f t="shared" ref="O8:O16" ca="1" si="1">IF(L8&gt;0,N8*100/L8,0)</f>
        <v>61.570203439105654</v>
      </c>
      <c r="P8" s="22">
        <f t="shared" ref="P8:P16" ca="1" si="2">IF(M8&gt;0,N8*100/M8,0)</f>
        <v>97.563682030850572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6983269</v>
      </c>
      <c r="M10" s="30">
        <f t="shared" ca="1" si="4"/>
        <v>4406981</v>
      </c>
      <c r="N10" s="30">
        <f t="shared" ca="1" si="4"/>
        <v>4299612.9299999988</v>
      </c>
      <c r="O10" s="29">
        <f t="shared" ca="1" si="1"/>
        <v>61.570203439105654</v>
      </c>
      <c r="P10" s="29">
        <f t="shared" ca="1" si="2"/>
        <v>97.563682030850572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6908269</v>
      </c>
      <c r="M12" s="39">
        <f t="shared" ca="1" si="6"/>
        <v>4331981</v>
      </c>
      <c r="N12" s="39">
        <f t="shared" ca="1" si="6"/>
        <v>4224612.9299999988</v>
      </c>
      <c r="O12" s="39">
        <f t="shared" ca="1" si="1"/>
        <v>61.152988252194561</v>
      </c>
      <c r="P12" s="39">
        <f t="shared" ca="1" si="2"/>
        <v>97.521501825608169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2200100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4708169</v>
      </c>
      <c r="M14" s="39">
        <f t="shared" si="8"/>
        <v>0</v>
      </c>
      <c r="N14" s="39">
        <f t="shared" ca="1" si="8"/>
        <v>1035801.709999999</v>
      </c>
      <c r="O14" s="39">
        <f t="shared" ca="1" si="1"/>
        <v>22.000096215747547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75000</v>
      </c>
      <c r="M16" s="39">
        <f t="shared" ca="1" si="10"/>
        <v>75000</v>
      </c>
      <c r="N16" s="39">
        <f t="shared" ca="1" si="10"/>
        <v>75000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4241230</v>
      </c>
      <c r="M18" s="23">
        <f t="shared" ca="1" si="11"/>
        <v>4406981</v>
      </c>
      <c r="N18" s="23">
        <f t="shared" ca="1" si="11"/>
        <v>3263811.2199999997</v>
      </c>
      <c r="O18" s="22">
        <f t="shared" ref="O18:O20" ca="1" si="12">IF(L18&gt;0,N18*100/L18,0)</f>
        <v>76.954355693984994</v>
      </c>
      <c r="P18" s="22">
        <f t="shared" ref="P18:P26" ca="1" si="13">IF(M18&gt;0,N18*100/M18,0)</f>
        <v>74.060024765253132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4241230</v>
      </c>
      <c r="M20" s="30">
        <f t="shared" ca="1" si="15"/>
        <v>4406981</v>
      </c>
      <c r="N20" s="30">
        <f t="shared" ca="1" si="15"/>
        <v>3263811.2199999997</v>
      </c>
      <c r="O20" s="29">
        <f t="shared" ca="1" si="12"/>
        <v>76.954355693984994</v>
      </c>
      <c r="P20" s="29">
        <f t="shared" ca="1" si="13"/>
        <v>74.060024765253132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4166230</v>
      </c>
      <c r="M22" s="42">
        <f t="shared" ca="1" si="18"/>
        <v>4331981</v>
      </c>
      <c r="N22" s="39">
        <f t="shared" ca="1" si="18"/>
        <v>3188811.2199999997</v>
      </c>
      <c r="O22" s="39">
        <f t="shared" ca="1" si="17"/>
        <v>76.539490618616824</v>
      </c>
      <c r="P22" s="39">
        <f t="shared" ca="1" si="13"/>
        <v>73.610923501280368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2200100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1966130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75000</v>
      </c>
      <c r="M26" s="50">
        <f t="shared" ca="1" si="22"/>
        <v>75000</v>
      </c>
      <c r="N26" s="50">
        <f t="shared" ca="1" si="22"/>
        <v>75000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2742039</v>
      </c>
      <c r="M28" s="23">
        <f t="shared" si="23"/>
        <v>0</v>
      </c>
      <c r="N28" s="23">
        <f t="shared" ca="1" si="23"/>
        <v>1035801.709999999</v>
      </c>
      <c r="O28" s="22">
        <f t="shared" ref="O28:O30" ca="1" si="24">IF(L28&gt;0,N28*100/L28,0)</f>
        <v>37.774871546320057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2742039</v>
      </c>
      <c r="M30" s="30">
        <f t="shared" si="27"/>
        <v>0</v>
      </c>
      <c r="N30" s="30">
        <f t="shared" ca="1" si="27"/>
        <v>1035801.709999999</v>
      </c>
      <c r="O30" s="29">
        <f t="shared" ca="1" si="24"/>
        <v>37.774871546320057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2742039</v>
      </c>
      <c r="M32" s="39">
        <f t="shared" si="30"/>
        <v>0</v>
      </c>
      <c r="N32" s="39">
        <f t="shared" ca="1" si="30"/>
        <v>1035801.709999999</v>
      </c>
      <c r="O32" s="39">
        <f t="shared" ca="1" si="29"/>
        <v>37.774871546320057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2742039</v>
      </c>
      <c r="M34" s="39">
        <f t="shared" si="32"/>
        <v>0</v>
      </c>
      <c r="N34" s="39">
        <f t="shared" ca="1" si="32"/>
        <v>1035801.709999999</v>
      </c>
      <c r="O34" s="39">
        <f t="shared" ca="1" si="29"/>
        <v>37.774871546320057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4241230</v>
      </c>
      <c r="M37" s="55">
        <f t="shared" ca="1" si="33"/>
        <v>4406981</v>
      </c>
      <c r="N37" s="55">
        <f t="shared" ca="1" si="33"/>
        <v>3263811.2199999997</v>
      </c>
      <c r="O37" s="56">
        <f t="shared" ca="1" si="29"/>
        <v>76.954355693984994</v>
      </c>
      <c r="P37" s="56">
        <f t="shared" ca="1" si="25"/>
        <v>74.060024765253132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1038100</v>
      </c>
      <c r="M41" s="79">
        <f t="shared" ca="1" si="34"/>
        <v>1038100</v>
      </c>
      <c r="N41" s="79">
        <f t="shared" ca="1" si="34"/>
        <v>877999.57</v>
      </c>
      <c r="O41" s="78">
        <f t="shared" ref="O41:O43" ca="1" si="35">IF(L41&gt;0,N41*100/L41,0)</f>
        <v>84.577552258934588</v>
      </c>
      <c r="P41" s="78">
        <f t="shared" ref="P41:P43" ca="1" si="36">IF(M41&gt;0,N41*100/M41,0)</f>
        <v>84.577552258934588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1038100</v>
      </c>
      <c r="M43" s="79">
        <f t="shared" ca="1" si="38"/>
        <v>1038100</v>
      </c>
      <c r="N43" s="79">
        <f t="shared" ca="1" si="38"/>
        <v>877999.57</v>
      </c>
      <c r="O43" s="78">
        <f t="shared" ca="1" si="35"/>
        <v>84.577552258934588</v>
      </c>
      <c r="P43" s="78">
        <f t="shared" ca="1" si="36"/>
        <v>84.577552258934588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1038100</v>
      </c>
      <c r="M45" s="50">
        <f ca="1">IFERROR(__xludf.DUMMYFUNCTION("IMPORTRANGE(""https://docs.google.com/spreadsheets/d/1Yj_ptqi66GCucihVvJfMjLAmec39IyEx_6qawtMGysU/edit?usp=sharing"",""สบก!Q28"")"),1038100)</f>
        <v>1038100</v>
      </c>
      <c r="N45" s="50">
        <f ca="1">IFERROR(__xludf.DUMMYFUNCTION("IMPORTRANGE(""https://docs.google.com/spreadsheets/d/1Yj_ptqi66GCucihVvJfMjLAmec39IyEx_6qawtMGysU/edit?usp=sharing"",""สบก!R28"")"),877999.57)</f>
        <v>877999.57</v>
      </c>
      <c r="O45" s="39">
        <f ca="1">IF(L45&gt;0,N45*100/L45,0)</f>
        <v>84.577552258934588</v>
      </c>
      <c r="P45" s="39">
        <f ca="1">IF(M45&gt;0,N45*100/M45,0)</f>
        <v>84.577552258934588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IFERROR(__xludf.DUMMYFUNCTION("IMPORTRANGE(""https://docs.google.com/spreadsheets/d/1Yj_ptqi66GCucihVvJfMjLAmec39IyEx_6qawtMGysU/edit?usp=sharing"",""สบก!M28"")"),1038100)</f>
        <v>1038100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IFERROR(__xludf.DUMMYFUNCTION("IMPORTRANGE(""https://docs.google.com/spreadsheets/d/1Yj_ptqi66GCucihVvJfMjLAmec39IyEx_6qawtMGysU/edit?usp=sharing"",""สบก!N28"")"),0)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IFERROR(__xludf.DUMMYFUNCTION("IMPORTRANGE(""https://docs.google.com/spreadsheets/d/1Yj_ptqi66GCucihVvJfMjLAmec39IyEx_6qawtMGysU/edit?usp=sharing"",""สบก!O28"")"),0)</f>
        <v>0</v>
      </c>
      <c r="M49" s="50"/>
      <c r="N49" s="50">
        <f ca="1">IFERROR(__xludf.DUMMYFUNCTION("IMPORTRANGE(""https://docs.google.com/spreadsheets/d/1Yj_ptqi66GCucihVvJfMjLAmec39IyEx_6qawtMGysU/edit?usp=sharing"",""สบก!S28"")"),0)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427871</v>
      </c>
      <c r="N53" s="121">
        <f t="shared" ca="1" si="39"/>
        <v>418903.3</v>
      </c>
      <c r="O53" s="120">
        <f t="shared" ref="O53:O55" ca="1" si="40">IF(L53&gt;0,N53*100/L53,0)</f>
        <v>104.725825</v>
      </c>
      <c r="P53" s="120">
        <f t="shared" ref="P53:P55" ca="1" si="41">IF(M53&gt;0,N53*100/M53,0)</f>
        <v>97.904111285878216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427871</v>
      </c>
      <c r="N55" s="121">
        <f t="shared" ca="1" si="43"/>
        <v>418903.3</v>
      </c>
      <c r="O55" s="120">
        <f t="shared" ca="1" si="40"/>
        <v>104.725825</v>
      </c>
      <c r="P55" s="120">
        <f t="shared" ca="1" si="41"/>
        <v>97.904111285878216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IFERROR(__xludf.DUMMYFUNCTION("IMPORTRANGE(""https://docs.google.com/spreadsheets/d/1Yj_ptqi66GCucihVvJfMjLAmec39IyEx_6qawtMGysU/edit?usp=sharing"",""สบก!Z28"")"),427871)</f>
        <v>427871</v>
      </c>
      <c r="N57" s="50">
        <f ca="1">IFERROR(__xludf.DUMMYFUNCTION("IMPORTRANGE(""https://docs.google.com/spreadsheets/d/1Yj_ptqi66GCucihVvJfMjLAmec39IyEx_6qawtMGysU/edit?usp=sharing"",""สบก!AA28"")"),418903.3)</f>
        <v>418903.3</v>
      </c>
      <c r="O57" s="39">
        <f ca="1">IF(L57&gt;0,N57*100/L57,0)</f>
        <v>104.725825</v>
      </c>
      <c r="P57" s="39">
        <f ca="1">IF(M57&gt;0,N57*100/M57,0)</f>
        <v>97.904111285878216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IFERROR(__xludf.DUMMYFUNCTION("IMPORTRANGE(""https://docs.google.com/spreadsheets/d/1Yj_ptqi66GCucihVvJfMjLAmec39IyEx_6qawtMGysU/edit?usp=sharing"",""สบก!V28"")"),400000)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IFERROR(__xludf.DUMMYFUNCTION("IMPORTRANGE(""https://docs.google.com/spreadsheets/d/1Yj_ptqi66GCucihVvJfMjLAmec39IyEx_6qawtMGysU/edit?usp=sharing"",""สบก!W28"")"),0)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IFERROR(__xludf.DUMMYFUNCTION("IMPORTRANGE(""https://docs.google.com/spreadsheets/d/1Yj_ptqi66GCucihVvJfMjLAmec39IyEx_6qawtMGysU/edit?usp=sharing"",""สบก!X28"")"),0)</f>
        <v>0</v>
      </c>
      <c r="M61" s="50"/>
      <c r="N61" s="50">
        <f ca="1">IFERROR(__xludf.DUMMYFUNCTION("IMPORTRANGE(""https://docs.google.com/spreadsheets/d/1Yj_ptqi66GCucihVvJfMjLAmec39IyEx_6qawtMGysU/edit?usp=sharing"",""สบก!AB28"")"),0)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IFERROR(__xludf.DUMMYFUNCTION("IMPORTRANGE(""https://docs.google.com/spreadsheets/d/11923uPwbBZFjjGgGUA6NLw09EwE0CqkOc4q9oUmW1yo/edit?usp=sharing"",""พิษณุโลก!I9"")"),3)</f>
        <v>3</v>
      </c>
      <c r="J64" s="142">
        <f ca="1">IFERROR(__xludf.DUMMYFUNCTION("IMPORTRANGE(""https://docs.google.com/spreadsheets/d/11923uPwbBZFjjGgGUA6NLw09EwE0CqkOc4q9oUmW1yo/edit?usp=sharing"",""พิษณุโลก!J9"")"),3)</f>
        <v>3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IFERROR(__xludf.DUMMYFUNCTION("IMPORTRANGE(""https://docs.google.com/spreadsheets/d/11923uPwbBZFjjGgGUA6NLw09EwE0CqkOc4q9oUmW1yo/edit?usp=sharing"",""พิษณุโลก!I10"")"),188)</f>
        <v>188</v>
      </c>
      <c r="J65" s="142">
        <f ca="1">IFERROR(__xludf.DUMMYFUNCTION("IMPORTRANGE(""https://docs.google.com/spreadsheets/d/11923uPwbBZFjjGgGUA6NLw09EwE0CqkOc4q9oUmW1yo/edit?usp=sharing"",""พิษณุโลก!J10"")"),188)</f>
        <v>188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1706600</v>
      </c>
      <c r="M66" s="152">
        <f t="shared" ca="1" si="45"/>
        <v>1751880</v>
      </c>
      <c r="N66" s="152">
        <f t="shared" ca="1" si="45"/>
        <v>1148487.1299999999</v>
      </c>
      <c r="O66" s="151">
        <f t="shared" ref="O66:O68" ca="1" si="46">IF(L66&gt;0,N66*100/L66,0)</f>
        <v>67.296796554552898</v>
      </c>
      <c r="P66" s="151">
        <f t="shared" ref="P66:P68" ca="1" si="47">IF(M66&gt;0,N66*100/M66,0)</f>
        <v>65.557408612462027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1706600</v>
      </c>
      <c r="M68" s="88">
        <f t="shared" ca="1" si="49"/>
        <v>1751880</v>
      </c>
      <c r="N68" s="88">
        <f t="shared" ca="1" si="49"/>
        <v>1148487.1299999999</v>
      </c>
      <c r="O68" s="156">
        <f t="shared" ca="1" si="46"/>
        <v>67.296796554552898</v>
      </c>
      <c r="P68" s="156">
        <f t="shared" ca="1" si="47"/>
        <v>65.557408612462027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1646600</v>
      </c>
      <c r="M70" s="167">
        <f ca="1">IFERROR(__xludf.DUMMYFUNCTION("IMPORTRANGE(""https://docs.google.com/spreadsheets/d/1Yj_ptqi66GCucihVvJfMjLAmec39IyEx_6qawtMGysU/edit?usp=sharing"",""สบก!AI28"")"),1691880)</f>
        <v>1691880</v>
      </c>
      <c r="N70" s="168">
        <f ca="1">IFERROR(__xludf.DUMMYFUNCTION("IMPORTRANGE(""https://docs.google.com/spreadsheets/d/1Yj_ptqi66GCucihVvJfMjLAmec39IyEx_6qawtMGysU/edit?usp=sharing"",""สบก!AJ28"")"),1088487.13)</f>
        <v>1088487.1299999999</v>
      </c>
      <c r="O70" s="168">
        <f ca="1">IF(L70&gt;0,N70*100/L70,0)</f>
        <v>66.105133608648117</v>
      </c>
      <c r="P70" s="168">
        <f ca="1">IF(M70&gt;0,N70*100/M70,0)</f>
        <v>64.335953495519774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IFERROR(__xludf.DUMMYFUNCTION("IMPORTRANGE(""https://docs.google.com/spreadsheets/d/1Yj_ptqi66GCucihVvJfMjLAmec39IyEx_6qawtMGysU/edit?usp=sharing"",""สบก!AE28"")"),192000)</f>
        <v>192000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IFERROR(__xludf.DUMMYFUNCTION("IMPORTRANGE(""https://docs.google.com/spreadsheets/d/1Yj_ptqi66GCucihVvJfMjLAmec39IyEx_6qawtMGysU/edit?usp=sharing"",""สบก!AF28"")"),1454600)</f>
        <v>1454600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IFERROR(__xludf.DUMMYFUNCTION("IMPORTRANGE(""https://docs.google.com/spreadsheets/d/1Yj_ptqi66GCucihVvJfMjLAmec39IyEx_6qawtMGysU/edit?usp=sharing"",""สบก!AG28"")"),60000)</f>
        <v>60000</v>
      </c>
      <c r="M74" s="50">
        <f ca="1">L74</f>
        <v>60000</v>
      </c>
      <c r="N74" s="50">
        <f ca="1">IFERROR(__xludf.DUMMYFUNCTION("IMPORTRANGE(""https://docs.google.com/spreadsheets/d/1Yj_ptqi66GCucihVvJfMjLAmec39IyEx_6qawtMGysU/edit?usp=sharing"",""สบก!AK28"")"),60000)</f>
        <v>60000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IFERROR(__xludf.DUMMYFUNCTION("IMPORTRANGE(""https://docs.google.com/spreadsheets/d/11923uPwbBZFjjGgGUA6NLw09EwE0CqkOc4q9oUmW1yo/edit?usp=sharing"",""พิษณุโลก!J16"")"),0)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IFERROR(__xludf.DUMMYFUNCTION("IMPORTRANGE(""https://docs.google.com/spreadsheets/d/11923uPwbBZFjjGgGUA6NLw09EwE0CqkOc4q9oUmW1yo/edit?usp=sharing"",""พิษณุโลก!J17"")"),1)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IFERROR(__xludf.DUMMYFUNCTION("IMPORTRANGE(""https://docs.google.com/spreadsheets/d/11923uPwbBZFjjGgGUA6NLw09EwE0CqkOc4q9oUmW1yo/edit?usp=sharing"",""พิษณุโลก!J18"")"),1)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IFERROR(__xludf.DUMMYFUNCTION("IMPORTRANGE(""https://docs.google.com/spreadsheets/d/11923uPwbBZFjjGgGUA6NLw09EwE0CqkOc4q9oUmW1yo/edit?usp=sharing"",""พิษณุโลก!J19"")"),1)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IFERROR(__xludf.DUMMYFUNCTION("IMPORTRANGE(""https://docs.google.com/spreadsheets/d/11923uPwbBZFjjGgGUA6NLw09EwE0CqkOc4q9oUmW1yo/edit?usp=sharing"",""พิษณุโลก!I20"")"),3)</f>
        <v>3</v>
      </c>
      <c r="J80" s="200">
        <f ca="1">IFERROR(__xludf.DUMMYFUNCTION("IMPORTRANGE(""https://docs.google.com/spreadsheets/d/11923uPwbBZFjjGgGUA6NLw09EwE0CqkOc4q9oUmW1yo/edit?usp=sharing"",""พิษณุโลก!J20"")"),3)</f>
        <v>3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IFERROR(__xludf.DUMMYFUNCTION("IMPORTRANGE(""https://docs.google.com/spreadsheets/d/11923uPwbBZFjjGgGUA6NLw09EwE0CqkOc4q9oUmW1yo/edit?usp=sharing"",""พิษณุโลก!I21"")"),188)</f>
        <v>188</v>
      </c>
      <c r="J81" s="200">
        <f ca="1">IFERROR(__xludf.DUMMYFUNCTION("IMPORTRANGE(""https://docs.google.com/spreadsheets/d/11923uPwbBZFjjGgGUA6NLw09EwE0CqkOc4q9oUmW1yo/edit?usp=sharing"",""พิษณุโลก!J21"")"),188)</f>
        <v>188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IFERROR(__xludf.DUMMYFUNCTION("IMPORTRANGE(""https://docs.google.com/spreadsheets/d/11923uPwbBZFjjGgGUA6NLw09EwE0CqkOc4q9oUmW1yo/edit?usp=sharing"",""พิษณุโลก!I22"")"),0)</f>
        <v>0</v>
      </c>
      <c r="J82" s="203">
        <f ca="1">IFERROR(__xludf.DUMMYFUNCTION("IMPORTRANGE(""https://docs.google.com/spreadsheets/d/11923uPwbBZFjjGgGUA6NLw09EwE0CqkOc4q9oUmW1yo/edit?usp=sharing"",""พิษณุโลก!J22"")"),0)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IFERROR(__xludf.DUMMYFUNCTION("IMPORTRANGE(""https://docs.google.com/spreadsheets/d/11923uPwbBZFjjGgGUA6NLw09EwE0CqkOc4q9oUmW1yo/edit?usp=sharing"",""พิษณุโลก!I23"")"),0)</f>
        <v>0</v>
      </c>
      <c r="J83" s="203">
        <f ca="1">IFERROR(__xludf.DUMMYFUNCTION("IMPORTRANGE(""https://docs.google.com/spreadsheets/d/11923uPwbBZFjjGgGUA6NLw09EwE0CqkOc4q9oUmW1yo/edit?usp=sharing"",""พิษณุโลก!J23"")"),0)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IFERROR(__xludf.DUMMYFUNCTION("IMPORTRANGE(""https://docs.google.com/spreadsheets/d/11923uPwbBZFjjGgGUA6NLw09EwE0CqkOc4q9oUmW1yo/edit?usp=sharing"",""พิษณุโลก!I24"")"),0)</f>
        <v>0</v>
      </c>
      <c r="J84" s="188">
        <f ca="1">IFERROR(__xludf.DUMMYFUNCTION("IMPORTRANGE(""https://docs.google.com/spreadsheets/d/11923uPwbBZFjjGgGUA6NLw09EwE0CqkOc4q9oUmW1yo/edit?usp=sharing"",""พิษณุโลก!J24"")"),0)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IFERROR(__xludf.DUMMYFUNCTION("IMPORTRANGE(""https://docs.google.com/spreadsheets/d/11923uPwbBZFjjGgGUA6NLw09EwE0CqkOc4q9oUmW1yo/edit?usp=sharing"",""พิษณุโลก!I25"")"),0)</f>
        <v>0</v>
      </c>
      <c r="J85" s="188">
        <f ca="1">IFERROR(__xludf.DUMMYFUNCTION("IMPORTRANGE(""https://docs.google.com/spreadsheets/d/11923uPwbBZFjjGgGUA6NLw09EwE0CqkOc4q9oUmW1yo/edit?usp=sharing"",""พิษณุโลก!J25"")"),0)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IFERROR(__xludf.DUMMYFUNCTION("IMPORTRANGE(""https://docs.google.com/spreadsheets/d/11923uPwbBZFjjGgGUA6NLw09EwE0CqkOc4q9oUmW1yo/edit?usp=sharing"",""พิษณุโลก!I26"")"),3)</f>
        <v>3</v>
      </c>
      <c r="J86" s="203">
        <f ca="1">IFERROR(__xludf.DUMMYFUNCTION("IMPORTRANGE(""https://docs.google.com/spreadsheets/d/11923uPwbBZFjjGgGUA6NLw09EwE0CqkOc4q9oUmW1yo/edit?usp=sharing"",""พิษณุโลก!J26"")"),3)</f>
        <v>3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IFERROR(__xludf.DUMMYFUNCTION("IMPORTRANGE(""https://docs.google.com/spreadsheets/d/11923uPwbBZFjjGgGUA6NLw09EwE0CqkOc4q9oUmW1yo/edit?usp=sharing"",""พิษณุโลก!I27"")"),188)</f>
        <v>188</v>
      </c>
      <c r="J87" s="203">
        <f ca="1">IFERROR(__xludf.DUMMYFUNCTION("IMPORTRANGE(""https://docs.google.com/spreadsheets/d/11923uPwbBZFjjGgGUA6NLw09EwE0CqkOc4q9oUmW1yo/edit?usp=sharing"",""พิษณุโลก!J27"")"),188)</f>
        <v>188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IFERROR(__xludf.DUMMYFUNCTION("IMPORTRANGE(""https://docs.google.com/spreadsheets/d/11923uPwbBZFjjGgGUA6NLw09EwE0CqkOc4q9oUmW1yo/edit?usp=sharing"",""พิษณุโลก!I28"")"),3)</f>
        <v>3</v>
      </c>
      <c r="J88" s="203">
        <f ca="1">IFERROR(__xludf.DUMMYFUNCTION("IMPORTRANGE(""https://docs.google.com/spreadsheets/d/11923uPwbBZFjjGgGUA6NLw09EwE0CqkOc4q9oUmW1yo/edit?usp=sharing"",""พิษณุโลก!J28"")"),0)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IFERROR(__xludf.DUMMYFUNCTION("IMPORTRANGE(""https://docs.google.com/spreadsheets/d/11923uPwbBZFjjGgGUA6NLw09EwE0CqkOc4q9oUmW1yo/edit?usp=sharing"",""พิษณุโลก!J29"")"),0)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IFERROR(__xludf.DUMMYFUNCTION("IMPORTRANGE(""https://docs.google.com/spreadsheets/d/11923uPwbBZFjjGgGUA6NLw09EwE0CqkOc4q9oUmW1yo/edit?usp=sharing"",""พิษณุโลก!J30"")"),0)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IFERROR(__xludf.DUMMYFUNCTION("IMPORTRANGE(""https://docs.google.com/spreadsheets/d/11923uPwbBZFjjGgGUA6NLw09EwE0CqkOc4q9oUmW1yo/edit?usp=sharing"",""พิษณุโลก!I32"")"),0)</f>
        <v>0</v>
      </c>
      <c r="J92" s="142">
        <f ca="1">IFERROR(__xludf.DUMMYFUNCTION("IMPORTRANGE(""https://docs.google.com/spreadsheets/d/11923uPwbBZFjjGgGUA6NLw09EwE0CqkOc4q9oUmW1yo/edit?usp=sharing"",""พิษณุโลก!J32"")"),0)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IFERROR(__xludf.DUMMYFUNCTION("IMPORTRANGE(""https://docs.google.com/spreadsheets/d/11923uPwbBZFjjGgGUA6NLw09EwE0CqkOc4q9oUmW1yo/edit?usp=sharing"",""พิษณุโลก!I33"")"),0)</f>
        <v>0</v>
      </c>
      <c r="J93" s="142">
        <f ca="1">IFERROR(__xludf.DUMMYFUNCTION("IMPORTRANGE(""https://docs.google.com/spreadsheets/d/11923uPwbBZFjjGgGUA6NLw09EwE0CqkOc4q9oUmW1yo/edit?usp=sharing"",""พิษณุโลก!J33"")"),0)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IFERROR(__xludf.DUMMYFUNCTION("IMPORTRANGE(""https://docs.google.com/spreadsheets/d/1Yj_ptqi66GCucihVvJfMjLAmec39IyEx_6qawtMGysU/edit?usp=sharing"",""สบก!AR28"")"),0)</f>
        <v>0</v>
      </c>
      <c r="N98" s="168">
        <f ca="1">IFERROR(__xludf.DUMMYFUNCTION("IMPORTRANGE(""https://docs.google.com/spreadsheets/d/1Yj_ptqi66GCucihVvJfMjLAmec39IyEx_6qawtMGysU/edit?usp=sharing"",""สบก!AS28"")"),0)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IFERROR(__xludf.DUMMYFUNCTION("IMPORTRANGE(""https://docs.google.com/spreadsheets/d/1Yj_ptqi66GCucihVvJfMjLAmec39IyEx_6qawtMGysU/edit?usp=sharing"",""สบก!AN28"")"),0)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IFERROR(__xludf.DUMMYFUNCTION("IMPORTRANGE(""https://docs.google.com/spreadsheets/d/1Yj_ptqi66GCucihVvJfMjLAmec39IyEx_6qawtMGysU/edit?usp=sharing"",""สบก!AO28"")"),0)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IFERROR(__xludf.DUMMYFUNCTION("IMPORTRANGE(""https://docs.google.com/spreadsheets/d/1Yj_ptqi66GCucihVvJfMjLAmec39IyEx_6qawtMGysU/edit?usp=sharing"",""สบก!AP28"")"),0)</f>
        <v>0</v>
      </c>
      <c r="M102" s="50"/>
      <c r="N102" s="50">
        <f ca="1">IFERROR(__xludf.DUMMYFUNCTION("IMPORTRANGE(""https://docs.google.com/spreadsheets/d/1Yj_ptqi66GCucihVvJfMjLAmec39IyEx_6qawtMGysU/edit?usp=sharing"",""สบก!AT28"")"),0)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IFERROR(__xludf.DUMMYFUNCTION("IMPORTRANGE(""https://docs.google.com/spreadsheets/d/11923uPwbBZFjjGgGUA6NLw09EwE0CqkOc4q9oUmW1yo/edit?usp=sharing"",""พิษณุโลก!J39"")"),0)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IFERROR(__xludf.DUMMYFUNCTION("IMPORTRANGE(""https://docs.google.com/spreadsheets/d/11923uPwbBZFjjGgGUA6NLw09EwE0CqkOc4q9oUmW1yo/edit?usp=sharing"",""พิษณุโลก!J40"")"),0)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IFERROR(__xludf.DUMMYFUNCTION("IMPORTRANGE(""https://docs.google.com/spreadsheets/d/11923uPwbBZFjjGgGUA6NLw09EwE0CqkOc4q9oUmW1yo/edit?usp=sharing"",""พิษณุโลก!J41"")"),0)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IFERROR(__xludf.DUMMYFUNCTION("IMPORTRANGE(""https://docs.google.com/spreadsheets/d/11923uPwbBZFjjGgGUA6NLw09EwE0CqkOc4q9oUmW1yo/edit?usp=sharing"",""พิษณุโลก!J42"")"),0)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IFERROR(__xludf.DUMMYFUNCTION("IMPORTRANGE(""https://docs.google.com/spreadsheets/d/11923uPwbBZFjjGgGUA6NLw09EwE0CqkOc4q9oUmW1yo/edit?usp=sharing"",""พิษณุโลก!I43"")"),0)</f>
        <v>0</v>
      </c>
      <c r="J108" s="203">
        <f ca="1">IFERROR(__xludf.DUMMYFUNCTION("IMPORTRANGE(""https://docs.google.com/spreadsheets/d/11923uPwbBZFjjGgGUA6NLw09EwE0CqkOc4q9oUmW1yo/edit?usp=sharing"",""พิษณุโลก!J43"")"),0)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IFERROR(__xludf.DUMMYFUNCTION("IMPORTRANGE(""https://docs.google.com/spreadsheets/d/11923uPwbBZFjjGgGUA6NLw09EwE0CqkOc4q9oUmW1yo/edit?usp=sharing"",""พิษณุโลก!I44"")"),0)</f>
        <v>0</v>
      </c>
      <c r="J109" s="203">
        <f ca="1">IFERROR(__xludf.DUMMYFUNCTION("IMPORTRANGE(""https://docs.google.com/spreadsheets/d/11923uPwbBZFjjGgGUA6NLw09EwE0CqkOc4q9oUmW1yo/edit?usp=sharing"",""พิษณุโลก!J44"")"),0)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IFERROR(__xludf.DUMMYFUNCTION("IMPORTRANGE(""https://docs.google.com/spreadsheets/d/11923uPwbBZFjjGgGUA6NLw09EwE0CqkOc4q9oUmW1yo/edit?usp=sharing"",""พิษณุโลก!I45"")"),0)</f>
        <v>0</v>
      </c>
      <c r="J110" s="203">
        <f ca="1">IFERROR(__xludf.DUMMYFUNCTION("IMPORTRANGE(""https://docs.google.com/spreadsheets/d/11923uPwbBZFjjGgGUA6NLw09EwE0CqkOc4q9oUmW1yo/edit?usp=sharing"",""พิษณุโลก!J45"")"),0)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IFERROR(__xludf.DUMMYFUNCTION("IMPORTRANGE(""https://docs.google.com/spreadsheets/d/11923uPwbBZFjjGgGUA6NLw09EwE0CqkOc4q9oUmW1yo/edit?usp=sharing"",""พิษณุโลก!I46"")"),0)</f>
        <v>0</v>
      </c>
      <c r="J111" s="203">
        <f ca="1">IFERROR(__xludf.DUMMYFUNCTION("IMPORTRANGE(""https://docs.google.com/spreadsheets/d/11923uPwbBZFjjGgGUA6NLw09EwE0CqkOc4q9oUmW1yo/edit?usp=sharing"",""พิษณุโลก!J46"")"),0)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IFERROR(__xludf.DUMMYFUNCTION("IMPORTRANGE(""https://docs.google.com/spreadsheets/d/11923uPwbBZFjjGgGUA6NLw09EwE0CqkOc4q9oUmW1yo/edit?usp=sharing"",""พิษณุโลก!I47"")"),0)</f>
        <v>0</v>
      </c>
      <c r="J112" s="203">
        <f ca="1">IFERROR(__xludf.DUMMYFUNCTION("IMPORTRANGE(""https://docs.google.com/spreadsheets/d/11923uPwbBZFjjGgGUA6NLw09EwE0CqkOc4q9oUmW1yo/edit?usp=sharing"",""พิษณุโลก!J47"")"),0)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IFERROR(__xludf.DUMMYFUNCTION("IMPORTRANGE(""https://docs.google.com/spreadsheets/d/11923uPwbBZFjjGgGUA6NLw09EwE0CqkOc4q9oUmW1yo/edit?usp=sharing"",""พิษณุโลก!I48"")"),0)</f>
        <v>0</v>
      </c>
      <c r="J113" s="203">
        <f ca="1">IFERROR(__xludf.DUMMYFUNCTION("IMPORTRANGE(""https://docs.google.com/spreadsheets/d/11923uPwbBZFjjGgGUA6NLw09EwE0CqkOc4q9oUmW1yo/edit?usp=sharing"",""พิษณุโลก!J48"")"),0)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IFERROR(__xludf.DUMMYFUNCTION("IMPORTRANGE(""https://docs.google.com/spreadsheets/d/11923uPwbBZFjjGgGUA6NLw09EwE0CqkOc4q9oUmW1yo/edit?usp=sharing"",""พิษณุโลก!J49"")"),0)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IFERROR(__xludf.DUMMYFUNCTION("IMPORTRANGE(""https://docs.google.com/spreadsheets/d/11923uPwbBZFjjGgGUA6NLw09EwE0CqkOc4q9oUmW1yo/edit?usp=sharing"",""พิษณุโลก!J50"")"),0)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IFERROR(__xludf.DUMMYFUNCTION("IMPORTRANGE(""https://docs.google.com/spreadsheets/d/11923uPwbBZFjjGgGUA6NLw09EwE0CqkOc4q9oUmW1yo/edit?usp=sharing"",""พิษณุโลก!I52"")"),0)</f>
        <v>0</v>
      </c>
      <c r="J117" s="142">
        <f ca="1">IFERROR(__xludf.DUMMYFUNCTION("IMPORTRANGE(""https://docs.google.com/spreadsheets/d/11923uPwbBZFjjGgGUA6NLw09EwE0CqkOc4q9oUmW1yo/edit?usp=sharing"",""พิษณุโลก!J52"")"),0)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IFERROR(__xludf.DUMMYFUNCTION("IMPORTRANGE(""https://docs.google.com/spreadsheets/d/1Yj_ptqi66GCucihVvJfMjLAmec39IyEx_6qawtMGysU/edit?usp=sharing"",""สบก!BA28"")"),0)</f>
        <v>0</v>
      </c>
      <c r="N122" s="168">
        <f ca="1">IFERROR(__xludf.DUMMYFUNCTION("IMPORTRANGE(""https://docs.google.com/spreadsheets/d/1Yj_ptqi66GCucihVvJfMjLAmec39IyEx_6qawtMGysU/edit?usp=sharing"",""สบก!BB28"")"),0)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IFERROR(__xludf.DUMMYFUNCTION("IMPORTRANGE(""https://docs.google.com/spreadsheets/d/1Yj_ptqi66GCucihVvJfMjLAmec39IyEx_6qawtMGysU/edit?usp=sharing"",""สบก!AW28"")"),0)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IFERROR(__xludf.DUMMYFUNCTION("IMPORTRANGE(""https://docs.google.com/spreadsheets/d/1Yj_ptqi66GCucihVvJfMjLAmec39IyEx_6qawtMGysU/edit?usp=sharing"",""สบก!AX28"")"),0)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IFERROR(__xludf.DUMMYFUNCTION("IMPORTRANGE(""https://docs.google.com/spreadsheets/d/1Yj_ptqi66GCucihVvJfMjLAmec39IyEx_6qawtMGysU/edit?usp=sharing"",""สบก!AY28"")"),0)</f>
        <v>0</v>
      </c>
      <c r="M126" s="50"/>
      <c r="N126" s="50">
        <f ca="1">IFERROR(__xludf.DUMMYFUNCTION("IMPORTRANGE(""https://docs.google.com/spreadsheets/d/1Yj_ptqi66GCucihVvJfMjLAmec39IyEx_6qawtMGysU/edit?usp=sharing"",""สบก!BC28"")"),0)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IFERROR(__xludf.DUMMYFUNCTION("IMPORTRANGE(""https://docs.google.com/spreadsheets/d/11923uPwbBZFjjGgGUA6NLw09EwE0CqkOc4q9oUmW1yo/edit?usp=sharing"",""พิษณุโลก!J58"")"),0)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IFERROR(__xludf.DUMMYFUNCTION("IMPORTRANGE(""https://docs.google.com/spreadsheets/d/11923uPwbBZFjjGgGUA6NLw09EwE0CqkOc4q9oUmW1yo/edit?usp=sharing"",""พิษณุโลก!J59"")"),0)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IFERROR(__xludf.DUMMYFUNCTION("IMPORTRANGE(""https://docs.google.com/spreadsheets/d/11923uPwbBZFjjGgGUA6NLw09EwE0CqkOc4q9oUmW1yo/edit?usp=sharing"",""พิษณุโลก!J60"")"),0)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IFERROR(__xludf.DUMMYFUNCTION("IMPORTRANGE(""https://docs.google.com/spreadsheets/d/11923uPwbBZFjjGgGUA6NLw09EwE0CqkOc4q9oUmW1yo/edit?usp=sharing"",""พิษณุโลก!J61"")"),0)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IFERROR(__xludf.DUMMYFUNCTION("IMPORTRANGE(""https://docs.google.com/spreadsheets/d/11923uPwbBZFjjGgGUA6NLw09EwE0CqkOc4q9oUmW1yo/edit?usp=sharing"",""พิษณุโลก!I62"")"),0)</f>
        <v>0</v>
      </c>
      <c r="J132" s="203">
        <f ca="1">IFERROR(__xludf.DUMMYFUNCTION("IMPORTRANGE(""https://docs.google.com/spreadsheets/d/11923uPwbBZFjjGgGUA6NLw09EwE0CqkOc4q9oUmW1yo/edit?usp=sharing"",""พิษณุโลก!J62"")"),0)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IFERROR(__xludf.DUMMYFUNCTION("IMPORTRANGE(""https://docs.google.com/spreadsheets/d/11923uPwbBZFjjGgGUA6NLw09EwE0CqkOc4q9oUmW1yo/edit?usp=sharing"",""พิษณุโลก!I63"")"),0)</f>
        <v>0</v>
      </c>
      <c r="J133" s="203">
        <f ca="1">IFERROR(__xludf.DUMMYFUNCTION("IMPORTRANGE(""https://docs.google.com/spreadsheets/d/11923uPwbBZFjjGgGUA6NLw09EwE0CqkOc4q9oUmW1yo/edit?usp=sharing"",""พิษณุโลก!J63"")"),0)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IFERROR(__xludf.DUMMYFUNCTION("IMPORTRANGE(""https://docs.google.com/spreadsheets/d/11923uPwbBZFjjGgGUA6NLw09EwE0CqkOc4q9oUmW1yo/edit?usp=sharing"",""พิษณุโลก!J64"")"),0)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IFERROR(__xludf.DUMMYFUNCTION("IMPORTRANGE(""https://docs.google.com/spreadsheets/d/11923uPwbBZFjjGgGUA6NLw09EwE0CqkOc4q9oUmW1yo/edit?usp=sharing"",""พิษณุโลก!J65"")"),0)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IFERROR(__xludf.DUMMYFUNCTION("IMPORTRANGE(""https://docs.google.com/spreadsheets/d/11923uPwbBZFjjGgGUA6NLw09EwE0CqkOc4q9oUmW1yo/edit?usp=sharing"",""พิษณุโลก!I68"")"),15)</f>
        <v>15</v>
      </c>
      <c r="J138" s="267">
        <f ca="1">IFERROR(__xludf.DUMMYFUNCTION("IMPORTRANGE(""https://docs.google.com/spreadsheets/d/11923uPwbBZFjjGgGUA6NLw09EwE0CqkOc4q9oUmW1yo/edit?usp=sharing"",""พิษณุโลก!J68"")"),15)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348000</v>
      </c>
      <c r="M140" s="152">
        <f t="shared" ca="1" si="64"/>
        <v>403600</v>
      </c>
      <c r="N140" s="152">
        <f t="shared" ca="1" si="64"/>
        <v>241685.13</v>
      </c>
      <c r="O140" s="151">
        <f t="shared" ref="O140:O142" ca="1" si="65">IF(L140&gt;0,N140*100/L140,0)</f>
        <v>69.449749999999995</v>
      </c>
      <c r="P140" s="151">
        <f t="shared" ref="P140:P142" ca="1" si="66">IF(M140&gt;0,N140*100/M140,0)</f>
        <v>59.882341427155602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348000</v>
      </c>
      <c r="M142" s="88">
        <f t="shared" ca="1" si="68"/>
        <v>403600</v>
      </c>
      <c r="N142" s="88">
        <f t="shared" ca="1" si="68"/>
        <v>241685.13</v>
      </c>
      <c r="O142" s="156">
        <f t="shared" ca="1" si="65"/>
        <v>69.449749999999995</v>
      </c>
      <c r="P142" s="156">
        <f t="shared" ca="1" si="66"/>
        <v>59.882341427155602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348000</v>
      </c>
      <c r="M144" s="167">
        <f ca="1">IFERROR(__xludf.DUMMYFUNCTION("IMPORTRANGE(""https://docs.google.com/spreadsheets/d/1Yj_ptqi66GCucihVvJfMjLAmec39IyEx_6qawtMGysU/edit?usp=sharing"",""สบก!BJ28"")"),403600)</f>
        <v>403600</v>
      </c>
      <c r="N144" s="168">
        <f ca="1">IFERROR(__xludf.DUMMYFUNCTION("IMPORTRANGE(""https://docs.google.com/spreadsheets/d/1Yj_ptqi66GCucihVvJfMjLAmec39IyEx_6qawtMGysU/edit?usp=sharing"",""สบก!BK28"")"),241685.13)</f>
        <v>241685.13</v>
      </c>
      <c r="O144" s="168">
        <f ca="1">IF(L144&gt;0,N144*100/L144,0)</f>
        <v>69.449749999999995</v>
      </c>
      <c r="P144" s="168">
        <f ca="1">IF(M144&gt;0,N144*100/M144,0)</f>
        <v>59.882341427155602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IFERROR(__xludf.DUMMYFUNCTION("IMPORTRANGE(""https://docs.google.com/spreadsheets/d/1Yj_ptqi66GCucihVvJfMjLAmec39IyEx_6qawtMGysU/edit?usp=sharing"",""สบก!BF28"")"),264000)</f>
        <v>264000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IFERROR(__xludf.DUMMYFUNCTION("IMPORTRANGE(""https://docs.google.com/spreadsheets/d/1Yj_ptqi66GCucihVvJfMjLAmec39IyEx_6qawtMGysU/edit?usp=sharing"",""สบก!BG28"")"),84000)</f>
        <v>84000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IFERROR(__xludf.DUMMYFUNCTION("IMPORTRANGE(""https://docs.google.com/spreadsheets/d/1Yj_ptqi66GCucihVvJfMjLAmec39IyEx_6qawtMGysU/edit?usp=sharing"",""สบก!BH28"")"),0)</f>
        <v>0</v>
      </c>
      <c r="M148" s="50"/>
      <c r="N148" s="50">
        <f ca="1">IFERROR(__xludf.DUMMYFUNCTION("IMPORTRANGE(""https://docs.google.com/spreadsheets/d/1Yj_ptqi66GCucihVvJfMjLAmec39IyEx_6qawtMGysU/edit?usp=sharing"",""สบก!BL28"")"),0)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IFERROR(__xludf.DUMMYFUNCTION("IMPORTRANGE(""https://docs.google.com/spreadsheets/d/11923uPwbBZFjjGgGUA6NLw09EwE0CqkOc4q9oUmW1yo/edit?usp=sharing"",""พิษณุโลก!I74"")"),4)</f>
        <v>4</v>
      </c>
      <c r="J149" s="275">
        <f ca="1">IFERROR(__xludf.DUMMYFUNCTION("IMPORTRANGE(""https://docs.google.com/spreadsheets/d/11923uPwbBZFjjGgGUA6NLw09EwE0CqkOc4q9oUmW1yo/edit?usp=sharing"",""พิษณุโลก!J74"")"),3)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IFERROR(__xludf.DUMMYFUNCTION("IMPORTRANGE(""https://docs.google.com/spreadsheets/d/11923uPwbBZFjjGgGUA6NLw09EwE0CqkOc4q9oUmW1yo/edit?usp=sharing"",""พิษณุโลก!J79"")"),0)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IFERROR(__xludf.DUMMYFUNCTION("IMPORTRANGE(""https://docs.google.com/spreadsheets/d/11923uPwbBZFjjGgGUA6NLw09EwE0CqkOc4q9oUmW1yo/edit?usp=sharing"",""พิษณุโลก!J80"")"),1)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IFERROR(__xludf.DUMMYFUNCTION("IMPORTRANGE(""https://docs.google.com/spreadsheets/d/11923uPwbBZFjjGgGUA6NLw09EwE0CqkOc4q9oUmW1yo/edit?usp=sharing"",""พิษณุโลก!J81"")"),1)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IFERROR(__xludf.DUMMYFUNCTION("IMPORTRANGE(""https://docs.google.com/spreadsheets/d/11923uPwbBZFjjGgGUA6NLw09EwE0CqkOc4q9oUmW1yo/edit?usp=sharing"",""พิษณุโลก!J82"")"),1)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IFERROR(__xludf.DUMMYFUNCTION("IMPORTRANGE(""https://docs.google.com/spreadsheets/d/11923uPwbBZFjjGgGUA6NLw09EwE0CqkOc4q9oUmW1yo/edit?usp=sharing"",""พิษณุโลก!I83"")"),4)</f>
        <v>4</v>
      </c>
      <c r="J158" s="188">
        <f ca="1">IFERROR(__xludf.DUMMYFUNCTION("IMPORTRANGE(""https://docs.google.com/spreadsheets/d/11923uPwbBZFjjGgGUA6NLw09EwE0CqkOc4q9oUmW1yo/edit?usp=sharing"",""พิษณุโลก!J83"")"),3)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IFERROR(__xludf.DUMMYFUNCTION("IMPORTRANGE(""https://docs.google.com/spreadsheets/d/11923uPwbBZFjjGgGUA6NLw09EwE0CqkOc4q9oUmW1yo/edit?usp=sharing"",""พิษณุโลก!J84"")"),177)</f>
        <v>177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IFERROR(__xludf.DUMMYFUNCTION("IMPORTRANGE(""https://docs.google.com/spreadsheets/d/11923uPwbBZFjjGgGUA6NLw09EwE0CqkOc4q9oUmW1yo/edit?usp=sharing"",""พิษณุโลก!J85"")"),177)</f>
        <v>177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IFERROR(__xludf.DUMMYFUNCTION("IMPORTRANGE(""https://docs.google.com/spreadsheets/d/11923uPwbBZFjjGgGUA6NLw09EwE0CqkOc4q9oUmW1yo/edit?usp=sharing"",""พิษณุโลก!J86"")"),0)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IFERROR(__xludf.DUMMYFUNCTION("IMPORTRANGE(""https://docs.google.com/spreadsheets/d/11923uPwbBZFjjGgGUA6NLw09EwE0CqkOc4q9oUmW1yo/edit?usp=sharing"",""พิษณุโลก!J87"")"),0)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IFERROR(__xludf.DUMMYFUNCTION("IMPORTRANGE(""https://docs.google.com/spreadsheets/d/11923uPwbBZFjjGgGUA6NLw09EwE0CqkOc4q9oUmW1yo/edit?usp=sharing"",""พิษณุโลก!J88"")"),0)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IFERROR(__xludf.DUMMYFUNCTION("IMPORTRANGE(""https://docs.google.com/spreadsheets/d/11923uPwbBZFjjGgGUA6NLw09EwE0CqkOc4q9oUmW1yo/edit?usp=sharing"",""พิษณุโลก!I89"")"),3)</f>
        <v>3</v>
      </c>
      <c r="J164" s="284">
        <f ca="1">IFERROR(__xludf.DUMMYFUNCTION("IMPORTRANGE(""https://docs.google.com/spreadsheets/d/11923uPwbBZFjjGgGUA6NLw09EwE0CqkOc4q9oUmW1yo/edit?usp=sharing"",""พิษณุโลก!J89"")"),3)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IFERROR(__xludf.DUMMYFUNCTION("IMPORTRANGE(""https://docs.google.com/spreadsheets/d/11923uPwbBZFjjGgGUA6NLw09EwE0CqkOc4q9oUmW1yo/edit?usp=sharing"",""พิษณุโลก!J94"")"),0)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IFERROR(__xludf.DUMMYFUNCTION("IMPORTRANGE(""https://docs.google.com/spreadsheets/d/11923uPwbBZFjjGgGUA6NLw09EwE0CqkOc4q9oUmW1yo/edit?usp=sharing"",""พิษณุโลก!J95"")"),1)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IFERROR(__xludf.DUMMYFUNCTION("IMPORTRANGE(""https://docs.google.com/spreadsheets/d/11923uPwbBZFjjGgGUA6NLw09EwE0CqkOc4q9oUmW1yo/edit?usp=sharing"",""พิษณุโลก!J96"")"),1)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IFERROR(__xludf.DUMMYFUNCTION("IMPORTRANGE(""https://docs.google.com/spreadsheets/d/11923uPwbBZFjjGgGUA6NLw09EwE0CqkOc4q9oUmW1yo/edit?usp=sharing"",""พิษณุโลก!J97"")"),0)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IFERROR(__xludf.DUMMYFUNCTION("IMPORTRANGE(""https://docs.google.com/spreadsheets/d/11923uPwbBZFjjGgGUA6NLw09EwE0CqkOc4q9oUmW1yo/edit?usp=sharing"",""พิษณุโลก!I98"")"),3)</f>
        <v>3</v>
      </c>
      <c r="J173" s="188">
        <f ca="1">IFERROR(__xludf.DUMMYFUNCTION("IMPORTRANGE(""https://docs.google.com/spreadsheets/d/11923uPwbBZFjjGgGUA6NLw09EwE0CqkOc4q9oUmW1yo/edit?usp=sharing"",""พิษณุโลก!J98"")"),3)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IFERROR(__xludf.DUMMYFUNCTION("IMPORTRANGE(""https://docs.google.com/spreadsheets/d/11923uPwbBZFjjGgGUA6NLw09EwE0CqkOc4q9oUmW1yo/edit?usp=sharing"",""พิษณุโลก!J99"")"),0)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IFERROR(__xludf.DUMMYFUNCTION("IMPORTRANGE(""https://docs.google.com/spreadsheets/d/11923uPwbBZFjjGgGUA6NLw09EwE0CqkOc4q9oUmW1yo/edit?usp=sharing"",""พิษณุโลก!J100"")"),0)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IFERROR(__xludf.DUMMYFUNCTION("IMPORTRANGE(""https://docs.google.com/spreadsheets/d/11923uPwbBZFjjGgGUA6NLw09EwE0CqkOc4q9oUmW1yo/edit?usp=sharing"",""พิษณุโลก!I101"")"),0)</f>
        <v>0</v>
      </c>
      <c r="J176" s="284">
        <f ca="1">IFERROR(__xludf.DUMMYFUNCTION("IMPORTRANGE(""https://docs.google.com/spreadsheets/d/11923uPwbBZFjjGgGUA6NLw09EwE0CqkOc4q9oUmW1yo/edit?usp=sharing"",""พิษณุโลก!J101"")"),0)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IFERROR(__xludf.DUMMYFUNCTION("IMPORTRANGE(""https://docs.google.com/spreadsheets/d/11923uPwbBZFjjGgGUA6NLw09EwE0CqkOc4q9oUmW1yo/edit?usp=sharing"",""พิษณุโลก!J106"")"),0)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IFERROR(__xludf.DUMMYFUNCTION("IMPORTRANGE(""https://docs.google.com/spreadsheets/d/11923uPwbBZFjjGgGUA6NLw09EwE0CqkOc4q9oUmW1yo/edit?usp=sharing"",""พิษณุโลก!J107"")"),0)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IFERROR(__xludf.DUMMYFUNCTION("IMPORTRANGE(""https://docs.google.com/spreadsheets/d/11923uPwbBZFjjGgGUA6NLw09EwE0CqkOc4q9oUmW1yo/edit?usp=sharing"",""พิษณุโลก!J108"")"),0)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IFERROR(__xludf.DUMMYFUNCTION("IMPORTRANGE(""https://docs.google.com/spreadsheets/d/11923uPwbBZFjjGgGUA6NLw09EwE0CqkOc4q9oUmW1yo/edit?usp=sharing"",""พิษณุโลก!J109"")"),0)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IFERROR(__xludf.DUMMYFUNCTION("IMPORTRANGE(""https://docs.google.com/spreadsheets/d/11923uPwbBZFjjGgGUA6NLw09EwE0CqkOc4q9oUmW1yo/edit?usp=sharing"",""พิษณุโลก!I110"")"),0)</f>
        <v>0</v>
      </c>
      <c r="J185" s="203">
        <f ca="1">IFERROR(__xludf.DUMMYFUNCTION("IMPORTRANGE(""https://docs.google.com/spreadsheets/d/11923uPwbBZFjjGgGUA6NLw09EwE0CqkOc4q9oUmW1yo/edit?usp=sharing"",""พิษณุโลก!J110"")"),0)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IFERROR(__xludf.DUMMYFUNCTION("IMPORTRANGE(""https://docs.google.com/spreadsheets/d/11923uPwbBZFjjGgGUA6NLw09EwE0CqkOc4q9oUmW1yo/edit?usp=sharing"",""พิษณุโลก!I111"")"),0)</f>
        <v>0</v>
      </c>
      <c r="J186" s="203">
        <f ca="1">IFERROR(__xludf.DUMMYFUNCTION("IMPORTRANGE(""https://docs.google.com/spreadsheets/d/11923uPwbBZFjjGgGUA6NLw09EwE0CqkOc4q9oUmW1yo/edit?usp=sharing"",""พิษณุโลก!J111"")"),0)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IFERROR(__xludf.DUMMYFUNCTION("IMPORTRANGE(""https://docs.google.com/spreadsheets/d/11923uPwbBZFjjGgGUA6NLw09EwE0CqkOc4q9oUmW1yo/edit?usp=sharing"",""พิษณุโลก!J112"")"),0)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IFERROR(__xludf.DUMMYFUNCTION("IMPORTRANGE(""https://docs.google.com/spreadsheets/d/11923uPwbBZFjjGgGUA6NLw09EwE0CqkOc4q9oUmW1yo/edit?usp=sharing"",""พิษณุโลก!J113"")"),0)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IFERROR(__xludf.DUMMYFUNCTION("IMPORTRANGE(""https://docs.google.com/spreadsheets/d/11923uPwbBZFjjGgGUA6NLw09EwE0CqkOc4q9oUmW1yo/edit?usp=sharing"",""พิษณุโลก!I114"")"),50000)</f>
        <v>50000</v>
      </c>
      <c r="J189" s="284">
        <f ca="1">IFERROR(__xludf.DUMMYFUNCTION("IMPORTRANGE(""https://docs.google.com/spreadsheets/d/11923uPwbBZFjjGgGUA6NLw09EwE0CqkOc4q9oUmW1yo/edit?usp=sharing"",""พิษณุโลก!J114"")"),0)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IFERROR(__xludf.DUMMYFUNCTION("IMPORTRANGE(""https://docs.google.com/spreadsheets/d/11923uPwbBZFjjGgGUA6NLw09EwE0CqkOc4q9oUmW1yo/edit?usp=sharing"",""พิษณุโลก!J119"")"),0)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IFERROR(__xludf.DUMMYFUNCTION("IMPORTRANGE(""https://docs.google.com/spreadsheets/d/11923uPwbBZFjjGgGUA6NLw09EwE0CqkOc4q9oUmW1yo/edit?usp=sharing"",""พิษณุโลก!J120"")"),1)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IFERROR(__xludf.DUMMYFUNCTION("IMPORTRANGE(""https://docs.google.com/spreadsheets/d/11923uPwbBZFjjGgGUA6NLw09EwE0CqkOc4q9oUmW1yo/edit?usp=sharing"",""พิษณุโลก!J121"")"),1)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IFERROR(__xludf.DUMMYFUNCTION("IMPORTRANGE(""https://docs.google.com/spreadsheets/d/11923uPwbBZFjjGgGUA6NLw09EwE0CqkOc4q9oUmW1yo/edit?usp=sharing"",""พิษณุโลก!J122"")"),1)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IFERROR(__xludf.DUMMYFUNCTION("IMPORTRANGE(""https://docs.google.com/spreadsheets/d/11923uPwbBZFjjGgGUA6NLw09EwE0CqkOc4q9oUmW1yo/edit?usp=sharing"",""พิษณุโลก!I124"")"),50000)</f>
        <v>50000</v>
      </c>
      <c r="J199" s="188">
        <f ca="1">IFERROR(__xludf.DUMMYFUNCTION("IMPORTRANGE(""https://docs.google.com/spreadsheets/d/11923uPwbBZFjjGgGUA6NLw09EwE0CqkOc4q9oUmW1yo/edit?usp=sharing"",""พิษณุโลก!J124"")"),0)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IFERROR(__xludf.DUMMYFUNCTION("IMPORTRANGE(""https://docs.google.com/spreadsheets/d/11923uPwbBZFjjGgGUA6NLw09EwE0CqkOc4q9oUmW1yo/edit?usp=sharing"",""พิษณุโลก!I125"")"),50000)</f>
        <v>50000</v>
      </c>
      <c r="J200" s="188">
        <f ca="1">IFERROR(__xludf.DUMMYFUNCTION("IMPORTRANGE(""https://docs.google.com/spreadsheets/d/11923uPwbBZFjjGgGUA6NLw09EwE0CqkOc4q9oUmW1yo/edit?usp=sharing"",""พิษณุโลก!J125"")"),0)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IFERROR(__xludf.DUMMYFUNCTION("IMPORTRANGE(""https://docs.google.com/spreadsheets/d/11923uPwbBZFjjGgGUA6NLw09EwE0CqkOc4q9oUmW1yo/edit?usp=sharing"",""พิษณุโลก!I126"")"),15)</f>
        <v>15</v>
      </c>
      <c r="J201" s="188">
        <f ca="1">IFERROR(__xludf.DUMMYFUNCTION("IMPORTRANGE(""https://docs.google.com/spreadsheets/d/11923uPwbBZFjjGgGUA6NLw09EwE0CqkOc4q9oUmW1yo/edit?usp=sharing"",""พิษณุโลก!J126"")"),15)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IFERROR(__xludf.DUMMYFUNCTION("IMPORTRANGE(""https://docs.google.com/spreadsheets/d/11923uPwbBZFjjGgGUA6NLw09EwE0CqkOc4q9oUmW1yo/edit?usp=sharing"",""พิษณุโลก!J127"")"),0)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IFERROR(__xludf.DUMMYFUNCTION("IMPORTRANGE(""https://docs.google.com/spreadsheets/d/11923uPwbBZFjjGgGUA6NLw09EwE0CqkOc4q9oUmW1yo/edit?usp=sharing"",""พิษณุโลก!J128"")"),0)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IFERROR(__xludf.DUMMYFUNCTION("IMPORTRANGE(""https://docs.google.com/spreadsheets/d/11923uPwbBZFjjGgGUA6NLw09EwE0CqkOc4q9oUmW1yo/edit?usp=sharing"",""พิษณุโลก!I129"")"),0)</f>
        <v>0</v>
      </c>
      <c r="J204" s="284">
        <f ca="1">IFERROR(__xludf.DUMMYFUNCTION("IMPORTRANGE(""https://docs.google.com/spreadsheets/d/11923uPwbBZFjjGgGUA6NLw09EwE0CqkOc4q9oUmW1yo/edit?usp=sharing"",""พิษณุโลก!J129"")"),0)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IFERROR(__xludf.DUMMYFUNCTION("IMPORTRANGE(""https://docs.google.com/spreadsheets/d/11923uPwbBZFjjGgGUA6NLw09EwE0CqkOc4q9oUmW1yo/edit?usp=sharing"",""พิษณุโลก!J134"")"),0)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IFERROR(__xludf.DUMMYFUNCTION("IMPORTRANGE(""https://docs.google.com/spreadsheets/d/11923uPwbBZFjjGgGUA6NLw09EwE0CqkOc4q9oUmW1yo/edit?usp=sharing"",""พิษณุโลก!J135"")"),0)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IFERROR(__xludf.DUMMYFUNCTION("IMPORTRANGE(""https://docs.google.com/spreadsheets/d/11923uPwbBZFjjGgGUA6NLw09EwE0CqkOc4q9oUmW1yo/edit?usp=sharing"",""พิษณุโลก!J136"")"),0)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IFERROR(__xludf.DUMMYFUNCTION("IMPORTRANGE(""https://docs.google.com/spreadsheets/d/11923uPwbBZFjjGgGUA6NLw09EwE0CqkOc4q9oUmW1yo/edit?usp=sharing"",""พิษณุโลก!J137"")"),0)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IFERROR(__xludf.DUMMYFUNCTION("IMPORTRANGE(""https://docs.google.com/spreadsheets/d/11923uPwbBZFjjGgGUA6NLw09EwE0CqkOc4q9oUmW1yo/edit?usp=sharing"",""พิษณุโลก!I138"")"),0)</f>
        <v>0</v>
      </c>
      <c r="J213" s="203">
        <f ca="1">IFERROR(__xludf.DUMMYFUNCTION("IMPORTRANGE(""https://docs.google.com/spreadsheets/d/11923uPwbBZFjjGgGUA6NLw09EwE0CqkOc4q9oUmW1yo/edit?usp=sharing"",""พิษณุโลก!J138"")"),0)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IFERROR(__xludf.DUMMYFUNCTION("IMPORTRANGE(""https://docs.google.com/spreadsheets/d/11923uPwbBZFjjGgGUA6NLw09EwE0CqkOc4q9oUmW1yo/edit?usp=sharing"",""พิษณุโลก!I140"")"),0)</f>
        <v>0</v>
      </c>
      <c r="J215" s="203">
        <f ca="1">IFERROR(__xludf.DUMMYFUNCTION("IMPORTRANGE(""https://docs.google.com/spreadsheets/d/11923uPwbBZFjjGgGUA6NLw09EwE0CqkOc4q9oUmW1yo/edit?usp=sharing"",""พิษณุโลก!J140"")"),0)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IFERROR(__xludf.DUMMYFUNCTION("IMPORTRANGE(""https://docs.google.com/spreadsheets/d/11923uPwbBZFjjGgGUA6NLw09EwE0CqkOc4q9oUmW1yo/edit?usp=sharing"",""พิษณุโลก!I141"")"),0)</f>
        <v>0</v>
      </c>
      <c r="J216" s="203">
        <f ca="1">IFERROR(__xludf.DUMMYFUNCTION("IMPORTRANGE(""https://docs.google.com/spreadsheets/d/11923uPwbBZFjjGgGUA6NLw09EwE0CqkOc4q9oUmW1yo/edit?usp=sharing"",""พิษณุโลก!J141"")"),0)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IFERROR(__xludf.DUMMYFUNCTION("IMPORTRANGE(""https://docs.google.com/spreadsheets/d/11923uPwbBZFjjGgGUA6NLw09EwE0CqkOc4q9oUmW1yo/edit?usp=sharing"",""พิษณุโลก!J142"")"),0)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IFERROR(__xludf.DUMMYFUNCTION("IMPORTRANGE(""https://docs.google.com/spreadsheets/d/11923uPwbBZFjjGgGUA6NLw09EwE0CqkOc4q9oUmW1yo/edit?usp=sharing"",""พิษณุโลก!J143"")"),0)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IFERROR(__xludf.DUMMYFUNCTION("IMPORTRANGE(""https://docs.google.com/spreadsheets/d/11923uPwbBZFjjGgGUA6NLw09EwE0CqkOc4q9oUmW1yo/edit?usp=sharing"",""พิษณุโลก!I144"")"),0)</f>
        <v>0</v>
      </c>
      <c r="J219" s="267">
        <f ca="1">IFERROR(__xludf.DUMMYFUNCTION("IMPORTRANGE(""https://docs.google.com/spreadsheets/d/11923uPwbBZFjjGgGUA6NLw09EwE0CqkOc4q9oUmW1yo/edit?usp=sharing"",""พิษณุโลก!J144"")"),0)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0</v>
      </c>
      <c r="M222" s="88">
        <f t="shared" ca="1" si="76"/>
        <v>0</v>
      </c>
      <c r="N222" s="88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0</v>
      </c>
      <c r="M224" s="167">
        <f ca="1">IFERROR(__xludf.DUMMYFUNCTION("IMPORTRANGE(""https://docs.google.com/spreadsheets/d/1Yj_ptqi66GCucihVvJfMjLAmec39IyEx_6qawtMGysU/edit?usp=sharing"",""สบก!BS28"")"),0)</f>
        <v>0</v>
      </c>
      <c r="N224" s="168">
        <f ca="1">IFERROR(__xludf.DUMMYFUNCTION("IMPORTRANGE(""https://docs.google.com/spreadsheets/d/1Yj_ptqi66GCucihVvJfMjLAmec39IyEx_6qawtMGysU/edit?usp=sharing"",""สบก!BT28"")"),0)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IFERROR(__xludf.DUMMYFUNCTION("IMPORTRANGE(""https://docs.google.com/spreadsheets/d/1Yj_ptqi66GCucihVvJfMjLAmec39IyEx_6qawtMGysU/edit?usp=sharing"",""สบก!BO28"")"),0)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IFERROR(__xludf.DUMMYFUNCTION("IMPORTRANGE(""https://docs.google.com/spreadsheets/d/1Yj_ptqi66GCucihVvJfMjLAmec39IyEx_6qawtMGysU/edit?usp=sharing"",""สบก!BP28"")"),0)</f>
        <v>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IFERROR(__xludf.DUMMYFUNCTION("IMPORTRANGE(""https://docs.google.com/spreadsheets/d/1Yj_ptqi66GCucihVvJfMjLAmec39IyEx_6qawtMGysU/edit?usp=sharing"",""สบก!BQ28"")"),0)</f>
        <v>0</v>
      </c>
      <c r="M228" s="50"/>
      <c r="N228" s="50">
        <f ca="1">IFERROR(__xludf.DUMMYFUNCTION("IMPORTRANGE(""https://docs.google.com/spreadsheets/d/1Yj_ptqi66GCucihVvJfMjLAmec39IyEx_6qawtMGysU/edit?usp=sharing"",""สบก!BU28"")"),0)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IFERROR(__xludf.DUMMYFUNCTION("IMPORTRANGE(""https://docs.google.com/spreadsheets/d/11923uPwbBZFjjGgGUA6NLw09EwE0CqkOc4q9oUmW1yo/edit?usp=sharing"",""พิษณุโลก!I149"")"),0)</f>
        <v>0</v>
      </c>
      <c r="J229" s="267">
        <f ca="1">IFERROR(__xludf.DUMMYFUNCTION("IMPORTRANGE(""https://docs.google.com/spreadsheets/d/11923uPwbBZFjjGgGUA6NLw09EwE0CqkOc4q9oUmW1yo/edit?usp=sharing"",""พิษณุโลก!J149"")"),0)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IFERROR(__xludf.DUMMYFUNCTION("IMPORTRANGE(""https://docs.google.com/spreadsheets/d/11923uPwbBZFjjGgGUA6NLw09EwE0CqkOc4q9oUmW1yo/edit?usp=sharing"",""พิษณุโลก!J151"")"),0)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IFERROR(__xludf.DUMMYFUNCTION("IMPORTRANGE(""https://docs.google.com/spreadsheets/d/11923uPwbBZFjjGgGUA6NLw09EwE0CqkOc4q9oUmW1yo/edit?usp=sharing"",""พิษณุโลก!J152"")"),0)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IFERROR(__xludf.DUMMYFUNCTION("IMPORTRANGE(""https://docs.google.com/spreadsheets/d/11923uPwbBZFjjGgGUA6NLw09EwE0CqkOc4q9oUmW1yo/edit?usp=sharing"",""พิษณุโลก!J153"")"),0)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IFERROR(__xludf.DUMMYFUNCTION("IMPORTRANGE(""https://docs.google.com/spreadsheets/d/11923uPwbBZFjjGgGUA6NLw09EwE0CqkOc4q9oUmW1yo/edit?usp=sharing"",""พิษณุโลก!J154"")"),0)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IFERROR(__xludf.DUMMYFUNCTION("IMPORTRANGE(""https://docs.google.com/spreadsheets/d/11923uPwbBZFjjGgGUA6NLw09EwE0CqkOc4q9oUmW1yo/edit?usp=sharing"",""พิษณุโลก!I155"")"),0)</f>
        <v>0</v>
      </c>
      <c r="J235" s="188">
        <f ca="1">IFERROR(__xludf.DUMMYFUNCTION("IMPORTRANGE(""https://docs.google.com/spreadsheets/d/11923uPwbBZFjjGgGUA6NLw09EwE0CqkOc4q9oUmW1yo/edit?usp=sharing"",""พิษณุโลก!J155"")"),0)</f>
        <v>0</v>
      </c>
      <c r="K235" s="163">
        <f ca="1">IF(I235&gt;0,J235*100/I235,0)</f>
        <v>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IFERROR(__xludf.DUMMYFUNCTION("IMPORTRANGE(""https://docs.google.com/spreadsheets/d/11923uPwbBZFjjGgGUA6NLw09EwE0CqkOc4q9oUmW1yo/edit?usp=sharing"",""พิษณุโลก!J156"")"),0)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IFERROR(__xludf.DUMMYFUNCTION("IMPORTRANGE(""https://docs.google.com/spreadsheets/d/11923uPwbBZFjjGgGUA6NLw09EwE0CqkOc4q9oUmW1yo/edit?usp=sharing"",""พิษณุโลก!J157"")"),0)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IFERROR(__xludf.DUMMYFUNCTION("IMPORTRANGE(""https://docs.google.com/spreadsheets/d/11923uPwbBZFjjGgGUA6NLw09EwE0CqkOc4q9oUmW1yo/edit?usp=sharing"",""พิษณุโลก!I158"")"),0)</f>
        <v>0</v>
      </c>
      <c r="J238" s="267">
        <f ca="1">IFERROR(__xludf.DUMMYFUNCTION("IMPORTRANGE(""https://docs.google.com/spreadsheets/d/11923uPwbBZFjjGgGUA6NLw09EwE0CqkOc4q9oUmW1yo/edit?usp=sharing"",""พิษณุโลก!J158"")"),0)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IFERROR(__xludf.DUMMYFUNCTION("IMPORTRANGE(""https://docs.google.com/spreadsheets/d/11923uPwbBZFjjGgGUA6NLw09EwE0CqkOc4q9oUmW1yo/edit?usp=sharing"",""พิษณุโลก!J159"")"),"")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IFERROR(__xludf.DUMMYFUNCTION("IMPORTRANGE(""https://docs.google.com/spreadsheets/d/11923uPwbBZFjjGgGUA6NLw09EwE0CqkOc4q9oUmW1yo/edit?usp=sharing"",""พิษณุโลก!J161"")"),0)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IFERROR(__xludf.DUMMYFUNCTION("IMPORTRANGE(""https://docs.google.com/spreadsheets/d/11923uPwbBZFjjGgGUA6NLw09EwE0CqkOc4q9oUmW1yo/edit?usp=sharing"",""พิษณุโลก!J162"")"),0)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IFERROR(__xludf.DUMMYFUNCTION("IMPORTRANGE(""https://docs.google.com/spreadsheets/d/11923uPwbBZFjjGgGUA6NLw09EwE0CqkOc4q9oUmW1yo/edit?usp=sharing"",""พิษณุโลก!J163"")"),0)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IFERROR(__xludf.DUMMYFUNCTION("IMPORTRANGE(""https://docs.google.com/spreadsheets/d/11923uPwbBZFjjGgGUA6NLw09EwE0CqkOc4q9oUmW1yo/edit?usp=sharing"",""พิษณุโลก!I164"")"),0)</f>
        <v>0</v>
      </c>
      <c r="J244" s="187">
        <f ca="1">IFERROR(__xludf.DUMMYFUNCTION("IMPORTRANGE(""https://docs.google.com/spreadsheets/d/11923uPwbBZFjjGgGUA6NLw09EwE0CqkOc4q9oUmW1yo/edit?usp=sharing"",""พิษณุโลก!J164"")"),0)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IFERROR(__xludf.DUMMYFUNCTION("IMPORTRANGE(""https://docs.google.com/spreadsheets/d/11923uPwbBZFjjGgGUA6NLw09EwE0CqkOc4q9oUmW1yo/edit?usp=sharing"",""พิษณุโลก!J165"")"),0)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IFERROR(__xludf.DUMMYFUNCTION("IMPORTRANGE(""https://docs.google.com/spreadsheets/d/11923uPwbBZFjjGgGUA6NLw09EwE0CqkOc4q9oUmW1yo/edit?usp=sharing"",""พิษณุโลก!J166"")"),0)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IFERROR(__xludf.DUMMYFUNCTION("IMPORTRANGE(""https://docs.google.com/spreadsheets/d/11923uPwbBZFjjGgGUA6NLw09EwE0CqkOc4q9oUmW1yo/edit?usp=sharing"",""พิษณุโลก!I169"")"),0)</f>
        <v>0</v>
      </c>
      <c r="J249" s="316">
        <f ca="1">IFERROR(__xludf.DUMMYFUNCTION("IMPORTRANGE(""https://docs.google.com/spreadsheets/d/11923uPwbBZFjjGgGUA6NLw09EwE0CqkOc4q9oUmW1yo/edit?usp=sharing"",""พิษณุโลก!J169"")"),0)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IFERROR(__xludf.DUMMYFUNCTION("IMPORTRANGE(""https://docs.google.com/spreadsheets/d/1Yj_ptqi66GCucihVvJfMjLAmec39IyEx_6qawtMGysU/edit?usp=sharing"",""สบก!CB28"")"),0)</f>
        <v>0</v>
      </c>
      <c r="N254" s="168">
        <f ca="1">IFERROR(__xludf.DUMMYFUNCTION("IMPORTRANGE(""https://docs.google.com/spreadsheets/d/1Yj_ptqi66GCucihVvJfMjLAmec39IyEx_6qawtMGysU/edit?usp=sharing"",""สบก!CC28"")"),0)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IFERROR(__xludf.DUMMYFUNCTION("IMPORTRANGE(""https://docs.google.com/spreadsheets/d/1Yj_ptqi66GCucihVvJfMjLAmec39IyEx_6qawtMGysU/edit?usp=sharing"",""สบก!BX28"")"),0)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IFERROR(__xludf.DUMMYFUNCTION("IMPORTRANGE(""https://docs.google.com/spreadsheets/d/1Yj_ptqi66GCucihVvJfMjLAmec39IyEx_6qawtMGysU/edit?usp=sharing"",""สบก!BY28"")"),0)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IFERROR(__xludf.DUMMYFUNCTION("IMPORTRANGE(""https://docs.google.com/spreadsheets/d/1Yj_ptqi66GCucihVvJfMjLAmec39IyEx_6qawtMGysU/edit?usp=sharing"",""สบก!BZ28"")"),0)</f>
        <v>0</v>
      </c>
      <c r="M258" s="50"/>
      <c r="N258" s="50">
        <f ca="1">IFERROR(__xludf.DUMMYFUNCTION("IMPORTRANGE(""https://docs.google.com/spreadsheets/d/1Yj_ptqi66GCucihVvJfMjLAmec39IyEx_6qawtMGysU/edit?usp=sharing"",""สบก!CD28"")"),0)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IFERROR(__xludf.DUMMYFUNCTION("IMPORTRANGE(""https://docs.google.com/spreadsheets/d/11923uPwbBZFjjGgGUA6NLw09EwE0CqkOc4q9oUmW1yo/edit?usp=sharing"",""พิษณุโลก!J175"")"),0)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IFERROR(__xludf.DUMMYFUNCTION("IMPORTRANGE(""https://docs.google.com/spreadsheets/d/11923uPwbBZFjjGgGUA6NLw09EwE0CqkOc4q9oUmW1yo/edit?usp=sharing"",""พิษณุโลก!J176"")"),0)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IFERROR(__xludf.DUMMYFUNCTION("IMPORTRANGE(""https://docs.google.com/spreadsheets/d/11923uPwbBZFjjGgGUA6NLw09EwE0CqkOc4q9oUmW1yo/edit?usp=sharing"",""พิษณุโลก!J177"")"),0)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IFERROR(__xludf.DUMMYFUNCTION("IMPORTRANGE(""https://docs.google.com/spreadsheets/d/11923uPwbBZFjjGgGUA6NLw09EwE0CqkOc4q9oUmW1yo/edit?usp=sharing"",""พิษณุโลก!J178"")"),0)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IFERROR(__xludf.DUMMYFUNCTION("IMPORTRANGE(""https://docs.google.com/spreadsheets/d/11923uPwbBZFjjGgGUA6NLw09EwE0CqkOc4q9oUmW1yo/edit?usp=sharing"",""พิษณุโลก!I179"")"),0)</f>
        <v>0</v>
      </c>
      <c r="J264" s="188">
        <f ca="1">IFERROR(__xludf.DUMMYFUNCTION("IMPORTRANGE(""https://docs.google.com/spreadsheets/d/11923uPwbBZFjjGgGUA6NLw09EwE0CqkOc4q9oUmW1yo/edit?usp=sharing"",""พิษณุโลก!J179"")"),0)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IFERROR(__xludf.DUMMYFUNCTION("IMPORTRANGE(""https://docs.google.com/spreadsheets/d/11923uPwbBZFjjGgGUA6NLw09EwE0CqkOc4q9oUmW1yo/edit?usp=sharing"",""พิษณุโลก!I180"")"),0)</f>
        <v>0</v>
      </c>
      <c r="J265" s="188">
        <f ca="1">IFERROR(__xludf.DUMMYFUNCTION("IMPORTRANGE(""https://docs.google.com/spreadsheets/d/11923uPwbBZFjjGgGUA6NLw09EwE0CqkOc4q9oUmW1yo/edit?usp=sharing"",""พิษณุโลก!J180"")"),0)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IFERROR(__xludf.DUMMYFUNCTION("IMPORTRANGE(""https://docs.google.com/spreadsheets/d/11923uPwbBZFjjGgGUA6NLw09EwE0CqkOc4q9oUmW1yo/edit?usp=sharing"",""พิษณุโลก!I181"")"),0)</f>
        <v>0</v>
      </c>
      <c r="J266" s="188">
        <f ca="1">IFERROR(__xludf.DUMMYFUNCTION("IMPORTRANGE(""https://docs.google.com/spreadsheets/d/11923uPwbBZFjjGgGUA6NLw09EwE0CqkOc4q9oUmW1yo/edit?usp=sharing"",""พิษณุโลก!J181"")"),0)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IFERROR(__xludf.DUMMYFUNCTION("IMPORTRANGE(""https://docs.google.com/spreadsheets/d/11923uPwbBZFjjGgGUA6NLw09EwE0CqkOc4q9oUmW1yo/edit?usp=sharing"",""พิษณุโลก!I182"")"),0)</f>
        <v>0</v>
      </c>
      <c r="J267" s="188">
        <f ca="1">IFERROR(__xludf.DUMMYFUNCTION("IMPORTRANGE(""https://docs.google.com/spreadsheets/d/11923uPwbBZFjjGgGUA6NLw09EwE0CqkOc4q9oUmW1yo/edit?usp=sharing"",""พิษณุโลก!J182"")"),0)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IFERROR(__xludf.DUMMYFUNCTION("IMPORTRANGE(""https://docs.google.com/spreadsheets/d/11923uPwbBZFjjGgGUA6NLw09EwE0CqkOc4q9oUmW1yo/edit?usp=sharing"",""พิษณุโลก!J183"")"),0)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IFERROR(__xludf.DUMMYFUNCTION("IMPORTRANGE(""https://docs.google.com/spreadsheets/d/11923uPwbBZFjjGgGUA6NLw09EwE0CqkOc4q9oUmW1yo/edit?usp=sharing"",""พิษณุโลก!J184"")"),0)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IFERROR(__xludf.DUMMYFUNCTION("IMPORTRANGE(""https://docs.google.com/spreadsheets/d/11923uPwbBZFjjGgGUA6NLw09EwE0CqkOc4q9oUmW1yo/edit?usp=sharing"",""พิษณุโลก!I185"")"),15)</f>
        <v>15</v>
      </c>
      <c r="J270" s="316">
        <f ca="1">IFERROR(__xludf.DUMMYFUNCTION("IMPORTRANGE(""https://docs.google.com/spreadsheets/d/11923uPwbBZFjjGgGUA6NLw09EwE0CqkOc4q9oUmW1yo/edit?usp=sharing"",""พิษณุโลก!J185"")"),15)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41810</v>
      </c>
      <c r="O271" s="151">
        <f t="shared" ref="O271:O273" ca="1" si="84">IF(L271&gt;0,N271*100/L271,0)</f>
        <v>75.742753623188406</v>
      </c>
      <c r="P271" s="151">
        <f t="shared" ref="P271:P273" ca="1" si="85">IF(M271&gt;0,N271*100/M271,0)</f>
        <v>75.742753623188406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41810</v>
      </c>
      <c r="O273" s="156">
        <f t="shared" ca="1" si="84"/>
        <v>75.742753623188406</v>
      </c>
      <c r="P273" s="156">
        <f t="shared" ca="1" si="85"/>
        <v>75.742753623188406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IFERROR(__xludf.DUMMYFUNCTION("IMPORTRANGE(""https://docs.google.com/spreadsheets/d/1Yj_ptqi66GCucihVvJfMjLAmec39IyEx_6qawtMGysU/edit?usp=sharing"",""สบก!CK28"")"),55200)</f>
        <v>55200</v>
      </c>
      <c r="N275" s="168">
        <f ca="1">IFERROR(__xludf.DUMMYFUNCTION("IMPORTRANGE(""https://docs.google.com/spreadsheets/d/1Yj_ptqi66GCucihVvJfMjLAmec39IyEx_6qawtMGysU/edit?usp=sharing"",""สบก!CL28"")"),41810)</f>
        <v>41810</v>
      </c>
      <c r="O275" s="168">
        <f ca="1">IF(L275&gt;0,N275*100/L275,0)</f>
        <v>75.742753623188406</v>
      </c>
      <c r="P275" s="168">
        <f ca="1">IF(M275&gt;0,N275*100/M275,0)</f>
        <v>75.742753623188406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IFERROR(__xludf.DUMMYFUNCTION("IMPORTRANGE(""https://docs.google.com/spreadsheets/d/1Yj_ptqi66GCucihVvJfMjLAmec39IyEx_6qawtMGysU/edit?usp=sharing"",""สบก!CG28"")"),0)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IFERROR(__xludf.DUMMYFUNCTION("IMPORTRANGE(""https://docs.google.com/spreadsheets/d/1Yj_ptqi66GCucihVvJfMjLAmec39IyEx_6qawtMGysU/edit?usp=sharing"",""สบก!CH28"")"),55200)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IFERROR(__xludf.DUMMYFUNCTION("IMPORTRANGE(""https://docs.google.com/spreadsheets/d/1Yj_ptqi66GCucihVvJfMjLAmec39IyEx_6qawtMGysU/edit?usp=sharing"",""สบก!CI28"")"),0)</f>
        <v>0</v>
      </c>
      <c r="M279" s="50"/>
      <c r="N279" s="50">
        <f ca="1">IFERROR(__xludf.DUMMYFUNCTION("IMPORTRANGE(""https://docs.google.com/spreadsheets/d/1Yj_ptqi66GCucihVvJfMjLAmec39IyEx_6qawtMGysU/edit?usp=sharing"",""สบก!CM28"")"),0)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IFERROR(__xludf.DUMMYFUNCTION("IMPORTRANGE(""https://docs.google.com/spreadsheets/d/11923uPwbBZFjjGgGUA6NLw09EwE0CqkOc4q9oUmW1yo/edit?usp=sharing"",""พิษณุโลก!J191"")"),0)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IFERROR(__xludf.DUMMYFUNCTION("IMPORTRANGE(""https://docs.google.com/spreadsheets/d/11923uPwbBZFjjGgGUA6NLw09EwE0CqkOc4q9oUmW1yo/edit?usp=sharing"",""พิษณุโลก!J192"")"),1)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IFERROR(__xludf.DUMMYFUNCTION("IMPORTRANGE(""https://docs.google.com/spreadsheets/d/11923uPwbBZFjjGgGUA6NLw09EwE0CqkOc4q9oUmW1yo/edit?usp=sharing"",""พิษณุโลก!J193"")"),1)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IFERROR(__xludf.DUMMYFUNCTION("IMPORTRANGE(""https://docs.google.com/spreadsheets/d/11923uPwbBZFjjGgGUA6NLw09EwE0CqkOc4q9oUmW1yo/edit?usp=sharing"",""พิษณุโลก!J194"")"),1)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IFERROR(__xludf.DUMMYFUNCTION("IMPORTRANGE(""https://docs.google.com/spreadsheets/d/11923uPwbBZFjjGgGUA6NLw09EwE0CqkOc4q9oUmW1yo/edit?usp=sharing"",""พิษณุโลก!I195"")"),15)</f>
        <v>15</v>
      </c>
      <c r="J285" s="188">
        <f ca="1">IFERROR(__xludf.DUMMYFUNCTION("IMPORTRANGE(""https://docs.google.com/spreadsheets/d/11923uPwbBZFjjGgGUA6NLw09EwE0CqkOc4q9oUmW1yo/edit?usp=sharing"",""พิษณุโลก!J195"")"),15)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IFERROR(__xludf.DUMMYFUNCTION("IMPORTRANGE(""https://docs.google.com/spreadsheets/d/11923uPwbBZFjjGgGUA6NLw09EwE0CqkOc4q9oUmW1yo/edit?usp=sharing"",""พิษณุโลก!J196"")"),0)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IFERROR(__xludf.DUMMYFUNCTION("IMPORTRANGE(""https://docs.google.com/spreadsheets/d/11923uPwbBZFjjGgGUA6NLw09EwE0CqkOc4q9oUmW1yo/edit?usp=sharing"",""พิษณุโลก!J197"")"),0)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IFERROR(__xludf.DUMMYFUNCTION("IMPORTRANGE(""https://docs.google.com/spreadsheets/d/11923uPwbBZFjjGgGUA6NLw09EwE0CqkOc4q9oUmW1yo/edit?usp=sharing"",""พิษณุโลก!I199"")"),0)</f>
        <v>0</v>
      </c>
      <c r="J289" s="316">
        <f ca="1">IFERROR(__xludf.DUMMYFUNCTION("IMPORTRANGE(""https://docs.google.com/spreadsheets/d/11923uPwbBZFjjGgGUA6NLw09EwE0CqkOc4q9oUmW1yo/edit?usp=sharing"",""พิษณุโลก!J199"")"),0)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IFERROR(__xludf.DUMMYFUNCTION("IMPORTRANGE(""https://docs.google.com/spreadsheets/d/1Yj_ptqi66GCucihVvJfMjLAmec39IyEx_6qawtMGysU/edit?usp=sharing"",""สบก!CT28"")"),0)</f>
        <v>0</v>
      </c>
      <c r="N294" s="168">
        <f ca="1">IFERROR(__xludf.DUMMYFUNCTION("IMPORTRANGE(""https://docs.google.com/spreadsheets/d/1Yj_ptqi66GCucihVvJfMjLAmec39IyEx_6qawtMGysU/edit?usp=sharing"",""สบก!CU28"")"),0)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IFERROR(__xludf.DUMMYFUNCTION("IMPORTRANGE(""https://docs.google.com/spreadsheets/d/1Yj_ptqi66GCucihVvJfMjLAmec39IyEx_6qawtMGysU/edit?usp=sharing"",""สบก!CP28"")"),0)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IFERROR(__xludf.DUMMYFUNCTION("IMPORTRANGE(""https://docs.google.com/spreadsheets/d/1Yj_ptqi66GCucihVvJfMjLAmec39IyEx_6qawtMGysU/edit?usp=sharing"",""สบก!CQ28"")"),0)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IFERROR(__xludf.DUMMYFUNCTION("IMPORTRANGE(""https://docs.google.com/spreadsheets/d/1Yj_ptqi66GCucihVvJfMjLAmec39IyEx_6qawtMGysU/edit?usp=sharing"",""สบก!CR28"")"),0)</f>
        <v>0</v>
      </c>
      <c r="M298" s="50"/>
      <c r="N298" s="50">
        <f ca="1">IFERROR(__xludf.DUMMYFUNCTION("IMPORTRANGE(""https://docs.google.com/spreadsheets/d/1Yj_ptqi66GCucihVvJfMjLAmec39IyEx_6qawtMGysU/edit?usp=sharing"",""สบก!CV28"")"),0)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IFERROR(__xludf.DUMMYFUNCTION("IMPORTRANGE(""https://docs.google.com/spreadsheets/d/11923uPwbBZFjjGgGUA6NLw09EwE0CqkOc4q9oUmW1yo/edit?usp=sharing"",""พิษณุโลก!J205"")"),0)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IFERROR(__xludf.DUMMYFUNCTION("IMPORTRANGE(""https://docs.google.com/spreadsheets/d/11923uPwbBZFjjGgGUA6NLw09EwE0CqkOc4q9oUmW1yo/edit?usp=sharing"",""พิษณุโลก!J206"")"),0)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IFERROR(__xludf.DUMMYFUNCTION("IMPORTRANGE(""https://docs.google.com/spreadsheets/d/11923uPwbBZFjjGgGUA6NLw09EwE0CqkOc4q9oUmW1yo/edit?usp=sharing"",""พิษณุโลก!J207"")"),0)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IFERROR(__xludf.DUMMYFUNCTION("IMPORTRANGE(""https://docs.google.com/spreadsheets/d/11923uPwbBZFjjGgGUA6NLw09EwE0CqkOc4q9oUmW1yo/edit?usp=sharing"",""พิษณุโลก!J208"")"),0)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IFERROR(__xludf.DUMMYFUNCTION("IMPORTRANGE(""https://docs.google.com/spreadsheets/d/11923uPwbBZFjjGgGUA6NLw09EwE0CqkOc4q9oUmW1yo/edit?usp=sharing"",""พิษณุโลก!I209"")"),0)</f>
        <v>0</v>
      </c>
      <c r="J304" s="203">
        <f ca="1">IFERROR(__xludf.DUMMYFUNCTION("IMPORTRANGE(""https://docs.google.com/spreadsheets/d/11923uPwbBZFjjGgGUA6NLw09EwE0CqkOc4q9oUmW1yo/edit?usp=sharing"",""พิษณุโลก!J209"")"),0)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IFERROR(__xludf.DUMMYFUNCTION("IMPORTRANGE(""https://docs.google.com/spreadsheets/d/11923uPwbBZFjjGgGUA6NLw09EwE0CqkOc4q9oUmW1yo/edit?usp=sharing"",""พิษณุโลก!I211"")"),0)</f>
        <v>0</v>
      </c>
      <c r="J306" s="203">
        <f ca="1">IFERROR(__xludf.DUMMYFUNCTION("IMPORTRANGE(""https://docs.google.com/spreadsheets/d/11923uPwbBZFjjGgGUA6NLw09EwE0CqkOc4q9oUmW1yo/edit?usp=sharing"",""พิษณุโลก!J211"")"),0)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IFERROR(__xludf.DUMMYFUNCTION("IMPORTRANGE(""https://docs.google.com/spreadsheets/d/11923uPwbBZFjjGgGUA6NLw09EwE0CqkOc4q9oUmW1yo/edit?usp=sharing"",""พิษณุโลก!J212"")"),0)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IFERROR(__xludf.DUMMYFUNCTION("IMPORTRANGE(""https://docs.google.com/spreadsheets/d/11923uPwbBZFjjGgGUA6NLw09EwE0CqkOc4q9oUmW1yo/edit?usp=sharing"",""พิษณุโลก!J213"")"),0)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IFERROR(__xludf.DUMMYFUNCTION("IMPORTRANGE(""https://docs.google.com/spreadsheets/d/11923uPwbBZFjjGgGUA6NLw09EwE0CqkOc4q9oUmW1yo/edit?usp=sharing"",""พิษณุโลก!I214"")"),0)</f>
        <v>0</v>
      </c>
      <c r="J309" s="333">
        <f ca="1">IFERROR(__xludf.DUMMYFUNCTION("IMPORTRANGE(""https://docs.google.com/spreadsheets/d/11923uPwbBZFjjGgGUA6NLw09EwE0CqkOc4q9oUmW1yo/edit?usp=sharing"",""พิษณุโลก!J214"")"),0)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IFERROR(__xludf.DUMMYFUNCTION("IMPORTRANGE(""https://docs.google.com/spreadsheets/d/1Yj_ptqi66GCucihVvJfMjLAmec39IyEx_6qawtMGysU/edit?usp=sharing"",""สบก!DC28"")"),0)</f>
        <v>0</v>
      </c>
      <c r="N314" s="168">
        <f ca="1">IFERROR(__xludf.DUMMYFUNCTION("IMPORTRANGE(""https://docs.google.com/spreadsheets/d/1Yj_ptqi66GCucihVvJfMjLAmec39IyEx_6qawtMGysU/edit?usp=sharing"",""สบก!DD28"")"),0)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IFERROR(__xludf.DUMMYFUNCTION("IMPORTRANGE(""https://docs.google.com/spreadsheets/d/1Yj_ptqi66GCucihVvJfMjLAmec39IyEx_6qawtMGysU/edit?usp=sharing"",""สบก!CY28"")"),0)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IFERROR(__xludf.DUMMYFUNCTION("IMPORTRANGE(""https://docs.google.com/spreadsheets/d/1Yj_ptqi66GCucihVvJfMjLAmec39IyEx_6qawtMGysU/edit?usp=sharing"",""สบก!CZ28"")"),0)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IFERROR(__xludf.DUMMYFUNCTION("IMPORTRANGE(""https://docs.google.com/spreadsheets/d/1Yj_ptqi66GCucihVvJfMjLAmec39IyEx_6qawtMGysU/edit?usp=sharing"",""สบก!DA28"")"),0)</f>
        <v>0</v>
      </c>
      <c r="M318" s="50"/>
      <c r="N318" s="50">
        <f ca="1">IFERROR(__xludf.DUMMYFUNCTION("IMPORTRANGE(""https://docs.google.com/spreadsheets/d/1Yj_ptqi66GCucihVvJfMjLAmec39IyEx_6qawtMGysU/edit?usp=sharing"",""สบก!DE28"")"),0)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IFERROR(__xludf.DUMMYFUNCTION("IMPORTRANGE(""https://docs.google.com/spreadsheets/d/11923uPwbBZFjjGgGUA6NLw09EwE0CqkOc4q9oUmW1yo/edit?usp=sharing"",""พิษณุโลก!J220"")"),0)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IFERROR(__xludf.DUMMYFUNCTION("IMPORTRANGE(""https://docs.google.com/spreadsheets/d/11923uPwbBZFjjGgGUA6NLw09EwE0CqkOc4q9oUmW1yo/edit?usp=sharing"",""พิษณุโลก!J221"")"),0)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IFERROR(__xludf.DUMMYFUNCTION("IMPORTRANGE(""https://docs.google.com/spreadsheets/d/11923uPwbBZFjjGgGUA6NLw09EwE0CqkOc4q9oUmW1yo/edit?usp=sharing"",""พิษณุโลก!J222"")"),0)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IFERROR(__xludf.DUMMYFUNCTION("IMPORTRANGE(""https://docs.google.com/spreadsheets/d/11923uPwbBZFjjGgGUA6NLw09EwE0CqkOc4q9oUmW1yo/edit?usp=sharing"",""พิษณุโลก!J223"")"),0)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IFERROR(__xludf.DUMMYFUNCTION("IMPORTRANGE(""https://docs.google.com/spreadsheets/d/11923uPwbBZFjjGgGUA6NLw09EwE0CqkOc4q9oUmW1yo/edit?usp=sharing"",""พิษณุโลก!I224"")"),0)</f>
        <v>0</v>
      </c>
      <c r="J324" s="203">
        <f ca="1">IFERROR(__xludf.DUMMYFUNCTION("IMPORTRANGE(""https://docs.google.com/spreadsheets/d/11923uPwbBZFjjGgGUA6NLw09EwE0CqkOc4q9oUmW1yo/edit?usp=sharing"",""พิษณุโลก!J224"")"),0)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IFERROR(__xludf.DUMMYFUNCTION("IMPORTRANGE(""https://docs.google.com/spreadsheets/d/11923uPwbBZFjjGgGUA6NLw09EwE0CqkOc4q9oUmW1yo/edit?usp=sharing"",""พิษณุโลก!J225"")"),0)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IFERROR(__xludf.DUMMYFUNCTION("IMPORTRANGE(""https://docs.google.com/spreadsheets/d/11923uPwbBZFjjGgGUA6NLw09EwE0CqkOc4q9oUmW1yo/edit?usp=sharing"",""พิษณุโลก!J226"")"),0)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IFERROR(__xludf.DUMMYFUNCTION("IMPORTRANGE(""https://docs.google.com/spreadsheets/d/11923uPwbBZFjjGgGUA6NLw09EwE0CqkOc4q9oUmW1yo/edit?usp=sharing"",""พิษณุโลก!I228"")"),220)</f>
        <v>220</v>
      </c>
      <c r="J328" s="339">
        <f ca="1">IFERROR(__xludf.DUMMYFUNCTION("IMPORTRANGE(""https://docs.google.com/spreadsheets/d/11923uPwbBZFjjGgGUA6NLw09EwE0CqkOc4q9oUmW1yo/edit?usp=sharing"",""พิษณุโลก!J228"")"),166)</f>
        <v>166</v>
      </c>
      <c r="K328" s="317">
        <f ca="1">IF(I328&gt;0,J328*100/I328,0)</f>
        <v>75.454545454545453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693330</v>
      </c>
      <c r="M329" s="152">
        <f t="shared" ca="1" si="98"/>
        <v>730330</v>
      </c>
      <c r="N329" s="152">
        <f t="shared" ca="1" si="98"/>
        <v>534926.09000000008</v>
      </c>
      <c r="O329" s="151">
        <f t="shared" ref="O329:O331" ca="1" si="99">IF(L329&gt;0,N329*100/L329,0)</f>
        <v>77.153172371021029</v>
      </c>
      <c r="P329" s="151">
        <f t="shared" ref="P329:P331" ca="1" si="100">IF(M329&gt;0,N329*100/M329,0)</f>
        <v>73.244436076841993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693330</v>
      </c>
      <c r="M331" s="88">
        <f t="shared" ca="1" si="102"/>
        <v>730330</v>
      </c>
      <c r="N331" s="88">
        <f t="shared" ca="1" si="102"/>
        <v>534926.09000000008</v>
      </c>
      <c r="O331" s="156">
        <f t="shared" ca="1" si="99"/>
        <v>77.153172371021029</v>
      </c>
      <c r="P331" s="156">
        <f t="shared" ca="1" si="100"/>
        <v>73.244436076841993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678330</v>
      </c>
      <c r="M333" s="167">
        <f ca="1">IFERROR(__xludf.DUMMYFUNCTION("IMPORTRANGE(""https://docs.google.com/spreadsheets/d/1Yj_ptqi66GCucihVvJfMjLAmec39IyEx_6qawtMGysU/edit?usp=sharing"",""สบก!DL28"")"),715330)</f>
        <v>715330</v>
      </c>
      <c r="N333" s="168">
        <f ca="1">IFERROR(__xludf.DUMMYFUNCTION("IMPORTRANGE(""https://docs.google.com/spreadsheets/d/1Yj_ptqi66GCucihVvJfMjLAmec39IyEx_6qawtMGysU/edit?usp=sharing"",""สบก!DM28"")"),519926.09)</f>
        <v>519926.09</v>
      </c>
      <c r="O333" s="168">
        <f ca="1">IF(L333&gt;0,N333*100/L333,0)</f>
        <v>76.647957483820562</v>
      </c>
      <c r="P333" s="168">
        <f ca="1">IF(M333&gt;0,N333*100/M333,0)</f>
        <v>72.683389484573553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IFERROR(__xludf.DUMMYFUNCTION("IMPORTRANGE(""https://docs.google.com/spreadsheets/d/1Yj_ptqi66GCucihVvJfMjLAmec39IyEx_6qawtMGysU/edit?usp=sharing"",""สบก!DH28"")"),306000)</f>
        <v>306000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IFERROR(__xludf.DUMMYFUNCTION("IMPORTRANGE(""https://docs.google.com/spreadsheets/d/1Yj_ptqi66GCucihVvJfMjLAmec39IyEx_6qawtMGysU/edit?usp=sharing"",""สบก!DI28"")"),372330)</f>
        <v>372330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IFERROR(__xludf.DUMMYFUNCTION("IMPORTRANGE(""https://docs.google.com/spreadsheets/d/1Yj_ptqi66GCucihVvJfMjLAmec39IyEx_6qawtMGysU/edit?usp=sharing"",""สบก!DJ28"")"),15000)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IFERROR(__xludf.DUMMYFUNCTION("IMPORTRANGE(""https://docs.google.com/spreadsheets/d/1Yj_ptqi66GCucihVvJfMjLAmec39IyEx_6qawtMGysU/edit?usp=sharing"",""สบก!DN28"")"),15000)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IFERROR(__xludf.DUMMYFUNCTION("IMPORTRANGE(""https://docs.google.com/spreadsheets/d/11923uPwbBZFjjGgGUA6NLw09EwE0CqkOc4q9oUmW1yo/edit?usp=sharing"",""พิษณุโลก!I234"")"),0)</f>
        <v>0</v>
      </c>
      <c r="J339" s="187">
        <f ca="1">IFERROR(__xludf.DUMMYFUNCTION("IMPORTRANGE(""https://docs.google.com/spreadsheets/d/11923uPwbBZFjjGgGUA6NLw09EwE0CqkOc4q9oUmW1yo/edit?usp=sharing"",""พิษณุโลก!J234"")"),218)</f>
        <v>218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IFERROR(__xludf.DUMMYFUNCTION("IMPORTRANGE(""https://docs.google.com/spreadsheets/d/11923uPwbBZFjjGgGUA6NLw09EwE0CqkOc4q9oUmW1yo/edit?usp=sharing"",""พิษณุโลก!I235"")"),2040)</f>
        <v>2040</v>
      </c>
      <c r="J340" s="187">
        <f ca="1">IFERROR(__xludf.DUMMYFUNCTION("IMPORTRANGE(""https://docs.google.com/spreadsheets/d/11923uPwbBZFjjGgGUA6NLw09EwE0CqkOc4q9oUmW1yo/edit?usp=sharing"",""พิษณุโลก!J235"")"),2181.83)</f>
        <v>2181.83</v>
      </c>
      <c r="K340" s="342">
        <f t="shared" ca="1" si="103"/>
        <v>106.95245098039216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IFERROR(__xludf.DUMMYFUNCTION("IMPORTRANGE(""https://docs.google.com/spreadsheets/d/11923uPwbBZFjjGgGUA6NLw09EwE0CqkOc4q9oUmW1yo/edit?usp=sharing"",""พิษณุโลก!I236"")"),220)</f>
        <v>220</v>
      </c>
      <c r="J341" s="187">
        <f ca="1">IFERROR(__xludf.DUMMYFUNCTION("IMPORTRANGE(""https://docs.google.com/spreadsheets/d/11923uPwbBZFjjGgGUA6NLw09EwE0CqkOc4q9oUmW1yo/edit?usp=sharing"",""พิษณุโลก!J236"")"),276)</f>
        <v>276</v>
      </c>
      <c r="K341" s="342">
        <f t="shared" ca="1" si="103"/>
        <v>125.45454545454545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IFERROR(__xludf.DUMMYFUNCTION("IMPORTRANGE(""https://docs.google.com/spreadsheets/d/11923uPwbBZFjjGgGUA6NLw09EwE0CqkOc4q9oUmW1yo/edit?usp=sharing"",""พิษณุโลก!I237"")"),0)</f>
        <v>0</v>
      </c>
      <c r="J342" s="187">
        <f ca="1">IFERROR(__xludf.DUMMYFUNCTION("IMPORTRANGE(""https://docs.google.com/spreadsheets/d/11923uPwbBZFjjGgGUA6NLw09EwE0CqkOc4q9oUmW1yo/edit?usp=sharing"",""พิษณุโลก!J237"")"),3062.56)</f>
        <v>3062.56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IFERROR(__xludf.DUMMYFUNCTION("IMPORTRANGE(""https://docs.google.com/spreadsheets/d/11923uPwbBZFjjGgGUA6NLw09EwE0CqkOc4q9oUmW1yo/edit?usp=sharing"",""พิษณุโลก!I238"")"),220)</f>
        <v>220</v>
      </c>
      <c r="J343" s="187">
        <f ca="1">IFERROR(__xludf.DUMMYFUNCTION("IMPORTRANGE(""https://docs.google.com/spreadsheets/d/11923uPwbBZFjjGgGUA6NLw09EwE0CqkOc4q9oUmW1yo/edit?usp=sharing"",""พิษณุโลก!J238"")"),16)</f>
        <v>16</v>
      </c>
      <c r="K343" s="342">
        <f t="shared" ca="1" si="103"/>
        <v>7.2727272727272725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IFERROR(__xludf.DUMMYFUNCTION("IMPORTRANGE(""https://docs.google.com/spreadsheets/d/11923uPwbBZFjjGgGUA6NLw09EwE0CqkOc4q9oUmW1yo/edit?usp=sharing"",""พิษณุโลก!I239"")"),0)</f>
        <v>0</v>
      </c>
      <c r="J344" s="187">
        <f ca="1">IFERROR(__xludf.DUMMYFUNCTION("IMPORTRANGE(""https://docs.google.com/spreadsheets/d/11923uPwbBZFjjGgGUA6NLw09EwE0CqkOc4q9oUmW1yo/edit?usp=sharing"",""พิษณุโลก!J239"")"),104.49)</f>
        <v>104.49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IFERROR(__xludf.DUMMYFUNCTION("IMPORTRANGE(""https://docs.google.com/spreadsheets/d/11923uPwbBZFjjGgGUA6NLw09EwE0CqkOc4q9oUmW1yo/edit?usp=sharing"",""พิษณุโลก!I240"")"),220)</f>
        <v>220</v>
      </c>
      <c r="J345" s="187">
        <f ca="1">IFERROR(__xludf.DUMMYFUNCTION("IMPORTRANGE(""https://docs.google.com/spreadsheets/d/11923uPwbBZFjjGgGUA6NLw09EwE0CqkOc4q9oUmW1yo/edit?usp=sharing"",""พิษณุโลก!J240"")"),166)</f>
        <v>166</v>
      </c>
      <c r="K345" s="342">
        <f t="shared" ca="1" si="103"/>
        <v>75.454545454545453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IFERROR(__xludf.DUMMYFUNCTION("IMPORTRANGE(""https://docs.google.com/spreadsheets/d/11923uPwbBZFjjGgGUA6NLw09EwE0CqkOc4q9oUmW1yo/edit?usp=sharing"",""พิษณุโลก!I241"")"),0)</f>
        <v>0</v>
      </c>
      <c r="J346" s="187">
        <f ca="1">IFERROR(__xludf.DUMMYFUNCTION("IMPORTRANGE(""https://docs.google.com/spreadsheets/d/11923uPwbBZFjjGgGUA6NLw09EwE0CqkOc4q9oUmW1yo/edit?usp=sharing"",""พิษณุโลก!J241"")"),1688.38)</f>
        <v>1688.38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IFERROR(__xludf.DUMMYFUNCTION("IMPORTRANGE(""https://docs.google.com/spreadsheets/d/11923uPwbBZFjjGgGUA6NLw09EwE0CqkOc4q9oUmW1yo/edit?usp=sharing"",""พิษณุโลก!L242"")"),2742039)</f>
        <v>2742039</v>
      </c>
      <c r="M347" s="357"/>
      <c r="N347" s="357">
        <f ca="1">IFERROR(__xludf.DUMMYFUNCTION("IMPORTRANGE(""https://docs.google.com/spreadsheets/d/11923uPwbBZFjjGgGUA6NLw09EwE0CqkOc4q9oUmW1yo/edit?usp=sharing"",""พิษณุโลก!M242"")"),1035801.71)</f>
        <v>1035801.71</v>
      </c>
      <c r="O347" s="357">
        <f ca="1">+IF(L347&gt;0,N347*100/L347,0)</f>
        <v>37.774871546320092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IFERROR(__xludf.DUMMYFUNCTION("IMPORTRANGE(""https://docs.google.com/spreadsheets/d/11923uPwbBZFjjGgGUA6NLw09EwE0CqkOc4q9oUmW1yo/edit?usp=sharing"",""พิษณุโลก!I244"")"),0)</f>
        <v>0</v>
      </c>
      <c r="J349" s="370">
        <f ca="1">IFERROR(__xludf.DUMMYFUNCTION("IMPORTRANGE(""https://docs.google.com/spreadsheets/d/11923uPwbBZFjjGgGUA6NLw09EwE0CqkOc4q9oUmW1yo/edit?usp=sharing"",""พิษณุโลก!J244"")"),0)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IFERROR(__xludf.DUMMYFUNCTION("IMPORTRANGE(""https://docs.google.com/spreadsheets/d/11923uPwbBZFjjGgGUA6NLw09EwE0CqkOc4q9oUmW1yo/edit?usp=sharing"",""พิษณุโลก!L244"")"),0)</f>
        <v>0</v>
      </c>
      <c r="M349" s="372"/>
      <c r="N349" s="372">
        <f ca="1">IFERROR(__xludf.DUMMYFUNCTION("IMPORTRANGE(""https://docs.google.com/spreadsheets/d/11923uPwbBZFjjGgGUA6NLw09EwE0CqkOc4q9oUmW1yo/edit?usp=sharing"",""พิษณุโลก!M244"")"),0)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IFERROR(__xludf.DUMMYFUNCTION("IMPORTRANGE(""https://docs.google.com/spreadsheets/d/11923uPwbBZFjjGgGUA6NLw09EwE0CqkOc4q9oUmW1yo/edit?usp=sharing"",""พิษณุโลก!I245"")"),0)</f>
        <v>0</v>
      </c>
      <c r="J350" s="370">
        <f ca="1">IFERROR(__xludf.DUMMYFUNCTION("IMPORTRANGE(""https://docs.google.com/spreadsheets/d/11923uPwbBZFjjGgGUA6NLw09EwE0CqkOc4q9oUmW1yo/edit?usp=sharing"",""พิษณุโลก!J245"")"),0)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IFERROR(__xludf.DUMMYFUNCTION("IMPORTRANGE(""https://docs.google.com/spreadsheets/d/11923uPwbBZFjjGgGUA6NLw09EwE0CqkOc4q9oUmW1yo/edit?usp=sharing"",""พิษณุโลก!L246"")"),0)</f>
        <v>0</v>
      </c>
      <c r="M351" s="164"/>
      <c r="N351" s="164">
        <f ca="1">IFERROR(__xludf.DUMMYFUNCTION("IMPORTRANGE(""https://docs.google.com/spreadsheets/d/11923uPwbBZFjjGgGUA6NLw09EwE0CqkOc4q9oUmW1yo/edit?usp=sharing"",""พิษณุโลก!M246"")"),0)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IFERROR(__xludf.DUMMYFUNCTION("IMPORTRANGE(""https://docs.google.com/spreadsheets/d/11923uPwbBZFjjGgGUA6NLw09EwE0CqkOc4q9oUmW1yo/edit?usp=sharing"",""พิษณุโลก!L247"")"),0)</f>
        <v>0</v>
      </c>
      <c r="M352" s="165"/>
      <c r="N352" s="164">
        <f ca="1">IFERROR(__xludf.DUMMYFUNCTION("IMPORTRANGE(""https://docs.google.com/spreadsheets/d/11923uPwbBZFjjGgGUA6NLw09EwE0CqkOc4q9oUmW1yo/edit?usp=sharing"",""พิษณุโลก!M247"")"),0)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IFERROR(__xludf.DUMMYFUNCTION("IMPORTRANGE(""https://docs.google.com/spreadsheets/d/11923uPwbBZFjjGgGUA6NLw09EwE0CqkOc4q9oUmW1yo/edit?usp=sharing"",""พิษณุโลก!L248"")"),0)</f>
        <v>0</v>
      </c>
      <c r="M353" s="168"/>
      <c r="N353" s="168">
        <f ca="1">IFERROR(__xludf.DUMMYFUNCTION("IMPORTRANGE(""https://docs.google.com/spreadsheets/d/11923uPwbBZFjjGgGUA6NLw09EwE0CqkOc4q9oUmW1yo/edit?usp=sharing"",""พิษณุโลก!M248"")"),0)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IFERROR(__xludf.DUMMYFUNCTION("IMPORTRANGE(""https://docs.google.com/spreadsheets/d/11923uPwbBZFjjGgGUA6NLw09EwE0CqkOc4q9oUmW1yo/edit?usp=sharing"",""พิษณุโลก!L249"")"),0)</f>
        <v>0</v>
      </c>
      <c r="M354" s="168"/>
      <c r="N354" s="167">
        <f ca="1">IFERROR(__xludf.DUMMYFUNCTION("IMPORTRANGE(""https://docs.google.com/spreadsheets/d/11923uPwbBZFjjGgGUA6NLw09EwE0CqkOc4q9oUmW1yo/edit?usp=sharing"",""พิษณุโลก!M249"")"),0)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IFERROR(__xludf.DUMMYFUNCTION("IMPORTRANGE(""https://docs.google.com/spreadsheets/d/11923uPwbBZFjjGgGUA6NLw09EwE0CqkOc4q9oUmW1yo/edit?usp=sharing"",""พิษณุโลก!M250"")"),0)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IFERROR(__xludf.DUMMYFUNCTION("IMPORTRANGE(""https://docs.google.com/spreadsheets/d/11923uPwbBZFjjGgGUA6NLw09EwE0CqkOc4q9oUmW1yo/edit?usp=sharing"",""พิษณุโลก!M251"")"),0)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IFERROR(__xludf.DUMMYFUNCTION("IMPORTRANGE(""https://docs.google.com/spreadsheets/d/11923uPwbBZFjjGgGUA6NLw09EwE0CqkOc4q9oUmW1yo/edit?usp=sharing"",""พิษณุโลก!M252"")"),0)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IFERROR(__xludf.DUMMYFUNCTION("IMPORTRANGE(""https://docs.google.com/spreadsheets/d/11923uPwbBZFjjGgGUA6NLw09EwE0CqkOc4q9oUmW1yo/edit?usp=sharing"",""พิษณุโลก!M253"")"),0)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IFERROR(__xludf.DUMMYFUNCTION("IMPORTRANGE(""https://docs.google.com/spreadsheets/d/11923uPwbBZFjjGgGUA6NLw09EwE0CqkOc4q9oUmW1yo/edit?usp=sharing"",""พิษณุโลก!J255"")"),0)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IFERROR(__xludf.DUMMYFUNCTION("IMPORTRANGE(""https://docs.google.com/spreadsheets/d/11923uPwbBZFjjGgGUA6NLw09EwE0CqkOc4q9oUmW1yo/edit?usp=sharing"",""พิษณุโลก!J256"")"),0)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IFERROR(__xludf.DUMMYFUNCTION("IMPORTRANGE(""https://docs.google.com/spreadsheets/d/11923uPwbBZFjjGgGUA6NLw09EwE0CqkOc4q9oUmW1yo/edit?usp=sharing"",""พิษณุโลก!J257"")"),0)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IFERROR(__xludf.DUMMYFUNCTION("IMPORTRANGE(""https://docs.google.com/spreadsheets/d/11923uPwbBZFjjGgGUA6NLw09EwE0CqkOc4q9oUmW1yo/edit?usp=sharing"",""พิษณุโลก!J258"")"),0)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IFERROR(__xludf.DUMMYFUNCTION("IMPORTRANGE(""https://docs.google.com/spreadsheets/d/11923uPwbBZFjjGgGUA6NLw09EwE0CqkOc4q9oUmW1yo/edit?usp=sharing"",""พิษณุโลก!J166"")"),0)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IFERROR(__xludf.DUMMYFUNCTION("IMPORTRANGE(""https://docs.google.com/spreadsheets/d/11923uPwbBZFjjGgGUA6NLw09EwE0CqkOc4q9oUmW1yo/edit?usp=sharing"",""พิษณุโลก!J166"")"),0)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IFERROR(__xludf.DUMMYFUNCTION("IMPORTRANGE(""https://docs.google.com/spreadsheets/d/11923uPwbBZFjjGgGUA6NLw09EwE0CqkOc4q9oUmW1yo/edit?usp=sharing"",""พิษณุโลก!J166"")"),0)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IFERROR(__xludf.DUMMYFUNCTION("IMPORTRANGE(""https://docs.google.com/spreadsheets/d/11923uPwbBZFjjGgGUA6NLw09EwE0CqkOc4q9oUmW1yo/edit?usp=sharing"",""พิษณุโลก!J166"")"),0)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IFERROR(__xludf.DUMMYFUNCTION("IMPORTRANGE(""https://docs.google.com/spreadsheets/d/11923uPwbBZFjjGgGUA6NLw09EwE0CqkOc4q9oUmW1yo/edit?usp=sharing"",""พิษณุโลก!I263"")"),0)</f>
        <v>0</v>
      </c>
      <c r="J368" s="187">
        <f ca="1">IFERROR(__xludf.DUMMYFUNCTION("IMPORTRANGE(""https://docs.google.com/spreadsheets/d/11923uPwbBZFjjGgGUA6NLw09EwE0CqkOc4q9oUmW1yo/edit?usp=sharing"",""พิษณุโลก!J263"")"),0)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IFERROR(__xludf.DUMMYFUNCTION("IMPORTRANGE(""https://docs.google.com/spreadsheets/d/11923uPwbBZFjjGgGUA6NLw09EwE0CqkOc4q9oUmW1yo/edit?usp=sharing"",""พิษณุโลก!I164"")"),0)</f>
        <v>0</v>
      </c>
      <c r="J369" s="203">
        <f ca="1">IFERROR(__xludf.DUMMYFUNCTION("IMPORTRANGE(""https://docs.google.com/spreadsheets/d/11923uPwbBZFjjGgGUA6NLw09EwE0CqkOc4q9oUmW1yo/edit?usp=sharing"",""พิษณุโลก!J164"")"),0)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IFERROR(__xludf.DUMMYFUNCTION("IMPORTRANGE(""https://docs.google.com/spreadsheets/d/11923uPwbBZFjjGgGUA6NLw09EwE0CqkOc4q9oUmW1yo/edit?usp=sharing"",""พิษณุโลก!I265"")"),0)</f>
        <v>0</v>
      </c>
      <c r="J370" s="203">
        <f ca="1">IFERROR(__xludf.DUMMYFUNCTION("IMPORTRANGE(""https://docs.google.com/spreadsheets/d/11923uPwbBZFjjGgGUA6NLw09EwE0CqkOc4q9oUmW1yo/edit?usp=sharing"",""พิษณุโลก!J265"")"),0)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IFERROR(__xludf.DUMMYFUNCTION("IMPORTRANGE(""https://docs.google.com/spreadsheets/d/11923uPwbBZFjjGgGUA6NLw09EwE0CqkOc4q9oUmW1yo/edit?usp=sharing"",""พิษณุโลก!I164"")"),0)</f>
        <v>0</v>
      </c>
      <c r="J371" s="188">
        <f ca="1">IFERROR(__xludf.DUMMYFUNCTION("IMPORTRANGE(""https://docs.google.com/spreadsheets/d/11923uPwbBZFjjGgGUA6NLw09EwE0CqkOc4q9oUmW1yo/edit?usp=sharing"",""พิษณุโลก!J164"")"),0)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IFERROR(__xludf.DUMMYFUNCTION("IMPORTRANGE(""https://docs.google.com/spreadsheets/d/11923uPwbBZFjjGgGUA6NLw09EwE0CqkOc4q9oUmW1yo/edit?usp=sharing"",""พิษณุโลก!I267"")"),0)</f>
        <v>0</v>
      </c>
      <c r="J372" s="188">
        <f ca="1">IFERROR(__xludf.DUMMYFUNCTION("IMPORTRANGE(""https://docs.google.com/spreadsheets/d/11923uPwbBZFjjGgGUA6NLw09EwE0CqkOc4q9oUmW1yo/edit?usp=sharing"",""พิษณุโลก!J267"")"),0)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IFERROR(__xludf.DUMMYFUNCTION("IMPORTRANGE(""https://docs.google.com/spreadsheets/d/11923uPwbBZFjjGgGUA6NLw09EwE0CqkOc4q9oUmW1yo/edit?usp=sharing"",""พิษณุโลก!I164"")"),0)</f>
        <v>0</v>
      </c>
      <c r="J373" s="203">
        <f ca="1">IFERROR(__xludf.DUMMYFUNCTION("IMPORTRANGE(""https://docs.google.com/spreadsheets/d/11923uPwbBZFjjGgGUA6NLw09EwE0CqkOc4q9oUmW1yo/edit?usp=sharing"",""พิษณุโลก!J164"")"),0)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IFERROR(__xludf.DUMMYFUNCTION("IMPORTRANGE(""https://docs.google.com/spreadsheets/d/11923uPwbBZFjjGgGUA6NLw09EwE0CqkOc4q9oUmW1yo/edit?usp=sharing"",""พิษณุโลก!I164"")"),0)</f>
        <v>0</v>
      </c>
      <c r="J374" s="187">
        <f ca="1">IFERROR(__xludf.DUMMYFUNCTION("IMPORTRANGE(""https://docs.google.com/spreadsheets/d/11923uPwbBZFjjGgGUA6NLw09EwE0CqkOc4q9oUmW1yo/edit?usp=sharing"",""พิษณุโลก!J164"")"),0)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IFERROR(__xludf.DUMMYFUNCTION("IMPORTRANGE(""https://docs.google.com/spreadsheets/d/11923uPwbBZFjjGgGUA6NLw09EwE0CqkOc4q9oUmW1yo/edit?usp=sharing"",""พิษณุโลก!I270"")"),0)</f>
        <v>0</v>
      </c>
      <c r="J375" s="187">
        <f ca="1">IFERROR(__xludf.DUMMYFUNCTION("IMPORTRANGE(""https://docs.google.com/spreadsheets/d/11923uPwbBZFjjGgGUA6NLw09EwE0CqkOc4q9oUmW1yo/edit?usp=sharing"",""พิษณุโลก!J270"")"),0)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IFERROR(__xludf.DUMMYFUNCTION("IMPORTRANGE(""https://docs.google.com/spreadsheets/d/11923uPwbBZFjjGgGUA6NLw09EwE0CqkOc4q9oUmW1yo/edit?usp=sharing"",""พิษณุโลก!I271"")"),0)</f>
        <v>0</v>
      </c>
      <c r="J376" s="188">
        <f ca="1">IFERROR(__xludf.DUMMYFUNCTION("IMPORTRANGE(""https://docs.google.com/spreadsheets/d/11923uPwbBZFjjGgGUA6NLw09EwE0CqkOc4q9oUmW1yo/edit?usp=sharing"",""พิษณุโลก!J271"")"),0)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IFERROR(__xludf.DUMMYFUNCTION("IMPORTRANGE(""https://docs.google.com/spreadsheets/d/11923uPwbBZFjjGgGUA6NLw09EwE0CqkOc4q9oUmW1yo/edit?usp=sharing"",""พิษณุโลก!I272"")"),0)</f>
        <v>0</v>
      </c>
      <c r="J377" s="203">
        <f ca="1">IFERROR(__xludf.DUMMYFUNCTION("IMPORTRANGE(""https://docs.google.com/spreadsheets/d/11923uPwbBZFjjGgGUA6NLw09EwE0CqkOc4q9oUmW1yo/edit?usp=sharing"",""พิษณุโลก!J272"")"),0)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IFERROR(__xludf.DUMMYFUNCTION("IMPORTRANGE(""https://docs.google.com/spreadsheets/d/11923uPwbBZFjjGgGUA6NLw09EwE0CqkOc4q9oUmW1yo/edit?usp=sharing"",""พิษณุโลก!J273"")"),0)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IFERROR(__xludf.DUMMYFUNCTION("IMPORTRANGE(""https://docs.google.com/spreadsheets/d/11923uPwbBZFjjGgGUA6NLw09EwE0CqkOc4q9oUmW1yo/edit?usp=sharing"",""พิษณุโลก!J274"")"),0)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IFERROR(__xludf.DUMMYFUNCTION("IMPORTRANGE(""https://docs.google.com/spreadsheets/d/11923uPwbBZFjjGgGUA6NLw09EwE0CqkOc4q9oUmW1yo/edit?usp=sharing"",""พิษณุโลก!I275"")"),1000)</f>
        <v>1000</v>
      </c>
      <c r="J380" s="370">
        <f ca="1">IFERROR(__xludf.DUMMYFUNCTION("IMPORTRANGE(""https://docs.google.com/spreadsheets/d/11923uPwbBZFjjGgGUA6NLw09EwE0CqkOc4q9oUmW1yo/edit?usp=sharing"",""พิษณุโลก!J275"")"),0)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IFERROR(__xludf.DUMMYFUNCTION("IMPORTRANGE(""https://docs.google.com/spreadsheets/d/11923uPwbBZFjjGgGUA6NLw09EwE0CqkOc4q9oUmW1yo/edit?usp=sharing"",""พิษณุโลก!L275"")"),1028520)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IFERROR(__xludf.DUMMYFUNCTION("IMPORTRANGE(""https://docs.google.com/spreadsheets/d/11923uPwbBZFjjGgGUA6NLw09EwE0CqkOc4q9oUmW1yo/edit?usp=sharing"",""พิษณุโลก!M275"")"),263380.089999999)</f>
        <v>263380.08999999898</v>
      </c>
      <c r="O380" s="372">
        <f ca="1">+IF(L380&gt;0,N380*100/L380,0)</f>
        <v>25.60767802278993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IFERROR(__xludf.DUMMYFUNCTION("IMPORTRANGE(""https://docs.google.com/spreadsheets/d/11923uPwbBZFjjGgGUA6NLw09EwE0CqkOc4q9oUmW1yo/edit?usp=sharing"",""พิษณุโลก!I276"")"),100)</f>
        <v>100</v>
      </c>
      <c r="J381" s="370">
        <f ca="1">IFERROR(__xludf.DUMMYFUNCTION("IMPORTRANGE(""https://docs.google.com/spreadsheets/d/11923uPwbBZFjjGgGUA6NLw09EwE0CqkOc4q9oUmW1yo/edit?usp=sharing"",""พิษณุโลก!J276"")"),100)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IFERROR(__xludf.DUMMYFUNCTION("IMPORTRANGE(""https://docs.google.com/spreadsheets/d/11923uPwbBZFjjGgGUA6NLw09EwE0CqkOc4q9oUmW1yo/edit?usp=sharing"",""พิษณุโลก!L277"")"),0)</f>
        <v>0</v>
      </c>
      <c r="M382" s="164"/>
      <c r="N382" s="164">
        <f ca="1">IFERROR(__xludf.DUMMYFUNCTION("IMPORTRANGE(""https://docs.google.com/spreadsheets/d/11923uPwbBZFjjGgGUA6NLw09EwE0CqkOc4q9oUmW1yo/edit?usp=sharing"",""พิษณุโลก!M277"")"),0)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IFERROR(__xludf.DUMMYFUNCTION("IMPORTRANGE(""https://docs.google.com/spreadsheets/d/11923uPwbBZFjjGgGUA6NLw09EwE0CqkOc4q9oUmW1yo/edit?usp=sharing"",""พิษณุโลก!L278"")"),1028520)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IFERROR(__xludf.DUMMYFUNCTION("IMPORTRANGE(""https://docs.google.com/spreadsheets/d/11923uPwbBZFjjGgGUA6NLw09EwE0CqkOc4q9oUmW1yo/edit?usp=sharing"",""พิษณุโลก!M278"")"),263380.089999999)</f>
        <v>263380.08999999898</v>
      </c>
      <c r="O383" s="165">
        <f t="shared" ca="1" si="109"/>
        <v>25.60767802278993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IFERROR(__xludf.DUMMYFUNCTION("IMPORTRANGE(""https://docs.google.com/spreadsheets/d/11923uPwbBZFjjGgGUA6NLw09EwE0CqkOc4q9oUmW1yo/edit?usp=sharing"",""พิษณุโลก!L279"")"),0)</f>
        <v>0</v>
      </c>
      <c r="M384" s="168"/>
      <c r="N384" s="168">
        <f ca="1">IFERROR(__xludf.DUMMYFUNCTION("IMPORTRANGE(""https://docs.google.com/spreadsheets/d/11923uPwbBZFjjGgGUA6NLw09EwE0CqkOc4q9oUmW1yo/edit?usp=sharing"",""พิษณุโลก!M279"")"),0)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IFERROR(__xludf.DUMMYFUNCTION("IMPORTRANGE(""https://docs.google.com/spreadsheets/d/11923uPwbBZFjjGgGUA6NLw09EwE0CqkOc4q9oUmW1yo/edit?usp=sharing"",""พิษณุโลก!L280"")"),1028520)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IFERROR(__xludf.DUMMYFUNCTION("IMPORTRANGE(""https://docs.google.com/spreadsheets/d/11923uPwbBZFjjGgGUA6NLw09EwE0CqkOc4q9oUmW1yo/edit?usp=sharing"",""พิษณุโลก!M280"")"),263380.089999999)</f>
        <v>263380.08999999898</v>
      </c>
      <c r="O385" s="168">
        <f t="shared" ca="1" si="109"/>
        <v>25.60767802278993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IFERROR(__xludf.DUMMYFUNCTION("IMPORTRANGE(""https://docs.google.com/spreadsheets/d/11923uPwbBZFjjGgGUA6NLw09EwE0CqkOc4q9oUmW1yo/edit?usp=sharing"",""พิษณุโลก!M281"")"),155020)</f>
        <v>155020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IFERROR(__xludf.DUMMYFUNCTION("IMPORTRANGE(""https://docs.google.com/spreadsheets/d/11923uPwbBZFjjGgGUA6NLw09EwE0CqkOc4q9oUmW1yo/edit?usp=sharing"",""พิษณุโลก!M282"")"),0)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IFERROR(__xludf.DUMMYFUNCTION("IMPORTRANGE(""https://docs.google.com/spreadsheets/d/11923uPwbBZFjjGgGUA6NLw09EwE0CqkOc4q9oUmW1yo/edit?usp=sharing"",""พิษณุโลก!M283"")"),86900.09)</f>
        <v>86900.09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IFERROR(__xludf.DUMMYFUNCTION("IMPORTRANGE(""https://docs.google.com/spreadsheets/d/11923uPwbBZFjjGgGUA6NLw09EwE0CqkOc4q9oUmW1yo/edit?usp=sharing"",""พิษณุโลก!M284"")"),21460)</f>
        <v>21460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IFERROR(__xludf.DUMMYFUNCTION("IMPORTRANGE(""https://docs.google.com/spreadsheets/d/11923uPwbBZFjjGgGUA6NLw09EwE0CqkOc4q9oUmW1yo/edit?usp=sharing"",""พิษณุโลก!J286"")"),0)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IFERROR(__xludf.DUMMYFUNCTION("IMPORTRANGE(""https://docs.google.com/spreadsheets/d/11923uPwbBZFjjGgGUA6NLw09EwE0CqkOc4q9oUmW1yo/edit?usp=sharing"",""พิษณุโลก!J287"")"),1)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IFERROR(__xludf.DUMMYFUNCTION("IMPORTRANGE(""https://docs.google.com/spreadsheets/d/11923uPwbBZFjjGgGUA6NLw09EwE0CqkOc4q9oUmW1yo/edit?usp=sharing"",""พิษณุโลก!J288"")"),1)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IFERROR(__xludf.DUMMYFUNCTION("IMPORTRANGE(""https://docs.google.com/spreadsheets/d/11923uPwbBZFjjGgGUA6NLw09EwE0CqkOc4q9oUmW1yo/edit?usp=sharing"",""พิษณุโลก!J289"")"),1)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IFERROR(__xludf.DUMMYFUNCTION("IMPORTRANGE(""https://docs.google.com/spreadsheets/d/11923uPwbBZFjjGgGUA6NLw09EwE0CqkOc4q9oUmW1yo/edit?usp=sharing"",""พิษณุโลก!I291"")"),100)</f>
        <v>100</v>
      </c>
      <c r="J396" s="197">
        <f ca="1">IFERROR(__xludf.DUMMYFUNCTION("IMPORTRANGE(""https://docs.google.com/spreadsheets/d/11923uPwbBZFjjGgGUA6NLw09EwE0CqkOc4q9oUmW1yo/edit?usp=sharing"",""พิษณุโลก!J291"")"),100)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IFERROR(__xludf.DUMMYFUNCTION("IMPORTRANGE(""https://docs.google.com/spreadsheets/d/11923uPwbBZFjjGgGUA6NLw09EwE0CqkOc4q9oUmW1yo/edit?usp=sharing"",""พิษณุโลก!I292"")"),1000)</f>
        <v>1000</v>
      </c>
      <c r="J397" s="197">
        <f ca="1">IFERROR(__xludf.DUMMYFUNCTION("IMPORTRANGE(""https://docs.google.com/spreadsheets/d/11923uPwbBZFjjGgGUA6NLw09EwE0CqkOc4q9oUmW1yo/edit?usp=sharing"",""พิษณุโลก!J292"")"),0)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IFERROR(__xludf.DUMMYFUNCTION("IMPORTRANGE(""https://docs.google.com/spreadsheets/d/11923uPwbBZFjjGgGUA6NLw09EwE0CqkOc4q9oUmW1yo/edit?usp=sharing"",""พิษณุโลก!I293"")"),100)</f>
        <v>100</v>
      </c>
      <c r="J398" s="197">
        <f ca="1">IFERROR(__xludf.DUMMYFUNCTION("IMPORTRANGE(""https://docs.google.com/spreadsheets/d/11923uPwbBZFjjGgGUA6NLw09EwE0CqkOc4q9oUmW1yo/edit?usp=sharing"",""พิษณุโลก!J293"")"),0)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IFERROR(__xludf.DUMMYFUNCTION("IMPORTRANGE(""https://docs.google.com/spreadsheets/d/11923uPwbBZFjjGgGUA6NLw09EwE0CqkOc4q9oUmW1yo/edit?usp=sharing"",""พิษณุโลก!J294"")"),0)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IFERROR(__xludf.DUMMYFUNCTION("IMPORTRANGE(""https://docs.google.com/spreadsheets/d/11923uPwbBZFjjGgGUA6NLw09EwE0CqkOc4q9oUmW1yo/edit?usp=sharing"",""พิษณุโลก!J295"")"),0)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IFERROR(__xludf.DUMMYFUNCTION("IMPORTRANGE(""https://docs.google.com/spreadsheets/d/11923uPwbBZFjjGgGUA6NLw09EwE0CqkOc4q9oUmW1yo/edit?usp=sharing"",""พิษณุโลก!I296"")"),225)</f>
        <v>225</v>
      </c>
      <c r="J401" s="370">
        <f ca="1">IFERROR(__xludf.DUMMYFUNCTION("IMPORTRANGE(""https://docs.google.com/spreadsheets/d/11923uPwbBZFjjGgGUA6NLw09EwE0CqkOc4q9oUmW1yo/edit?usp=sharing"",""พิษณุโลก!J296"")"),225)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IFERROR(__xludf.DUMMYFUNCTION("IMPORTRANGE(""https://docs.google.com/spreadsheets/d/11923uPwbBZFjjGgGUA6NLw09EwE0CqkOc4q9oUmW1yo/edit?usp=sharing"",""พิษณุโลก!L296"")"),252320)</f>
        <v>252320</v>
      </c>
      <c r="M401" s="372"/>
      <c r="N401" s="372">
        <f ca="1">IFERROR(__xludf.DUMMYFUNCTION("IMPORTRANGE(""https://docs.google.com/spreadsheets/d/11923uPwbBZFjjGgGUA6NLw09EwE0CqkOc4q9oUmW1yo/edit?usp=sharing"",""พิษณุโลก!M296"")"),147316)</f>
        <v>147316</v>
      </c>
      <c r="O401" s="372">
        <f ca="1">+IF(L401&gt;0,N401*100/L401,0)</f>
        <v>58.38459099556119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IFERROR(__xludf.DUMMYFUNCTION("IMPORTRANGE(""https://docs.google.com/spreadsheets/d/11923uPwbBZFjjGgGUA6NLw09EwE0CqkOc4q9oUmW1yo/edit?usp=sharing"",""พิษณุโลก!I297"")"),75)</f>
        <v>75</v>
      </c>
      <c r="J402" s="370">
        <f ca="1">IFERROR(__xludf.DUMMYFUNCTION("IMPORTRANGE(""https://docs.google.com/spreadsheets/d/11923uPwbBZFjjGgGUA6NLw09EwE0CqkOc4q9oUmW1yo/edit?usp=sharing"",""พิษณุโลก!J297"")"),75)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IFERROR(__xludf.DUMMYFUNCTION("IMPORTRANGE(""https://docs.google.com/spreadsheets/d/11923uPwbBZFjjGgGUA6NLw09EwE0CqkOc4q9oUmW1yo/edit?usp=sharing"",""พิษณุโลก!L298"")"),0)</f>
        <v>0</v>
      </c>
      <c r="M403" s="164"/>
      <c r="N403" s="168">
        <f ca="1">IFERROR(__xludf.DUMMYFUNCTION("IMPORTRANGE(""https://docs.google.com/spreadsheets/d/11923uPwbBZFjjGgGUA6NLw09EwE0CqkOc4q9oUmW1yo/edit?usp=sharing"",""พิษณุโลก!M298"")"),0)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IFERROR(__xludf.DUMMYFUNCTION("IMPORTRANGE(""https://docs.google.com/spreadsheets/d/11923uPwbBZFjjGgGUA6NLw09EwE0CqkOc4q9oUmW1yo/edit?usp=sharing"",""พิษณุโลก!L299"")"),252320)</f>
        <v>252320</v>
      </c>
      <c r="M404" s="165"/>
      <c r="N404" s="168">
        <f ca="1">IFERROR(__xludf.DUMMYFUNCTION("IMPORTRANGE(""https://docs.google.com/spreadsheets/d/11923uPwbBZFjjGgGUA6NLw09EwE0CqkOc4q9oUmW1yo/edit?usp=sharing"",""พิษณุโลก!M299"")"),147316)</f>
        <v>147316</v>
      </c>
      <c r="O404" s="168">
        <f t="shared" ca="1" si="112"/>
        <v>58.38459099556119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IFERROR(__xludf.DUMMYFUNCTION("IMPORTRANGE(""https://docs.google.com/spreadsheets/d/11923uPwbBZFjjGgGUA6NLw09EwE0CqkOc4q9oUmW1yo/edit?usp=sharing"",""พิษณุโลก!L300"")"),0)</f>
        <v>0</v>
      </c>
      <c r="M405" s="168"/>
      <c r="N405" s="168">
        <f ca="1">IFERROR(__xludf.DUMMYFUNCTION("IMPORTRANGE(""https://docs.google.com/spreadsheets/d/11923uPwbBZFjjGgGUA6NLw09EwE0CqkOc4q9oUmW1yo/edit?usp=sharing"",""พิษณุโลก!M300"")"),0)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IFERROR(__xludf.DUMMYFUNCTION("IMPORTRANGE(""https://docs.google.com/spreadsheets/d/11923uPwbBZFjjGgGUA6NLw09EwE0CqkOc4q9oUmW1yo/edit?usp=sharing"",""พิษณุโลก!L301"")"),252320)</f>
        <v>252320</v>
      </c>
      <c r="M406" s="168"/>
      <c r="N406" s="168">
        <f ca="1">IFERROR(__xludf.DUMMYFUNCTION("IMPORTRANGE(""https://docs.google.com/spreadsheets/d/11923uPwbBZFjjGgGUA6NLw09EwE0CqkOc4q9oUmW1yo/edit?usp=sharing"",""พิษณุโลก!M301"")"),147316)</f>
        <v>147316</v>
      </c>
      <c r="O406" s="168">
        <f t="shared" ca="1" si="112"/>
        <v>58.38459099556119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IFERROR(__xludf.DUMMYFUNCTION("IMPORTRANGE(""https://docs.google.com/spreadsheets/d/11923uPwbBZFjjGgGUA6NLw09EwE0CqkOc4q9oUmW1yo/edit?usp=sharing"",""พิษณุโลก!M302"")"),135456)</f>
        <v>135456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IFERROR(__xludf.DUMMYFUNCTION("IMPORTRANGE(""https://docs.google.com/spreadsheets/d/11923uPwbBZFjjGgGUA6NLw09EwE0CqkOc4q9oUmW1yo/edit?usp=sharing"",""พิษณุโลก!M303"")"),0)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IFERROR(__xludf.DUMMYFUNCTION("IMPORTRANGE(""https://docs.google.com/spreadsheets/d/11923uPwbBZFjjGgGUA6NLw09EwE0CqkOc4q9oUmW1yo/edit?usp=sharing"",""พิษณุโลก!M304"")"),0)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IFERROR(__xludf.DUMMYFUNCTION("IMPORTRANGE(""https://docs.google.com/spreadsheets/d/11923uPwbBZFjjGgGUA6NLw09EwE0CqkOc4q9oUmW1yo/edit?usp=sharing"",""พิษณุโลก!M305"")"),11860)</f>
        <v>11860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IFERROR(__xludf.DUMMYFUNCTION("IMPORTRANGE(""https://docs.google.com/spreadsheets/d/11923uPwbBZFjjGgGUA6NLw09EwE0CqkOc4q9oUmW1yo/edit?usp=sharing"",""พิษณุโลก!J307"")"),0)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IFERROR(__xludf.DUMMYFUNCTION("IMPORTRANGE(""https://docs.google.com/spreadsheets/d/11923uPwbBZFjjGgGUA6NLw09EwE0CqkOc4q9oUmW1yo/edit?usp=sharing"",""พิษณุโลก!J308"")"),1)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IFERROR(__xludf.DUMMYFUNCTION("IMPORTRANGE(""https://docs.google.com/spreadsheets/d/11923uPwbBZFjjGgGUA6NLw09EwE0CqkOc4q9oUmW1yo/edit?usp=sharing"",""พิษณุโลก!J309"")"),1)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IFERROR(__xludf.DUMMYFUNCTION("IMPORTRANGE(""https://docs.google.com/spreadsheets/d/11923uPwbBZFjjGgGUA6NLw09EwE0CqkOc4q9oUmW1yo/edit?usp=sharing"",""พิษณุโลก!J310"")"),1)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IFERROR(__xludf.DUMMYFUNCTION("IMPORTRANGE(""https://docs.google.com/spreadsheets/d/11923uPwbBZFjjGgGUA6NLw09EwE0CqkOc4q9oUmW1yo/edit?usp=sharing"",""พิษณุโลก!I311"")"),75)</f>
        <v>75</v>
      </c>
      <c r="J416" s="200">
        <f ca="1">IFERROR(__xludf.DUMMYFUNCTION("IMPORTRANGE(""https://docs.google.com/spreadsheets/d/11923uPwbBZFjjGgGUA6NLw09EwE0CqkOc4q9oUmW1yo/edit?usp=sharing"",""พิษณุโลก!J311"")"),75)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IFERROR(__xludf.DUMMYFUNCTION("IMPORTRANGE(""https://docs.google.com/spreadsheets/d/11923uPwbBZFjjGgGUA6NLw09EwE0CqkOc4q9oUmW1yo/edit?usp=sharing"",""พิษณุโลก!I312"")"),25)</f>
        <v>25</v>
      </c>
      <c r="J417" s="391">
        <f ca="1">IFERROR(__xludf.DUMMYFUNCTION("IMPORTRANGE(""https://docs.google.com/spreadsheets/d/11923uPwbBZFjjGgGUA6NLw09EwE0CqkOc4q9oUmW1yo/edit?usp=sharing"",""พิษณุโลก!J312"")"),25)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IFERROR(__xludf.DUMMYFUNCTION("IMPORTRANGE(""https://docs.google.com/spreadsheets/d/11923uPwbBZFjjGgGUA6NLw09EwE0CqkOc4q9oUmW1yo/edit?usp=sharing"",""พิษณุโลก!I313"")"),75)</f>
        <v>75</v>
      </c>
      <c r="J418" s="392">
        <f ca="1">IFERROR(__xludf.DUMMYFUNCTION("IMPORTRANGE(""https://docs.google.com/spreadsheets/d/11923uPwbBZFjjGgGUA6NLw09EwE0CqkOc4q9oUmW1yo/edit?usp=sharing"",""พิษณุโลก!J313"")"),75)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IFERROR(__xludf.DUMMYFUNCTION("IMPORTRANGE(""https://docs.google.com/spreadsheets/d/11923uPwbBZFjjGgGUA6NLw09EwE0CqkOc4q9oUmW1yo/edit?usp=sharing"",""พิษณุโลก!I314"")"),25)</f>
        <v>25</v>
      </c>
      <c r="J419" s="393">
        <f ca="1">IFERROR(__xludf.DUMMYFUNCTION("IMPORTRANGE(""https://docs.google.com/spreadsheets/d/11923uPwbBZFjjGgGUA6NLw09EwE0CqkOc4q9oUmW1yo/edit?usp=sharing"",""พิษณุโลก!J314"")"),25)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IFERROR(__xludf.DUMMYFUNCTION("IMPORTRANGE(""https://docs.google.com/spreadsheets/d/11923uPwbBZFjjGgGUA6NLw09EwE0CqkOc4q9oUmW1yo/edit?usp=sharing"",""พิษณุโลก!I315"")"),25)</f>
        <v>25</v>
      </c>
      <c r="J420" s="393">
        <f ca="1">IFERROR(__xludf.DUMMYFUNCTION("IMPORTRANGE(""https://docs.google.com/spreadsheets/d/11923uPwbBZFjjGgGUA6NLw09EwE0CqkOc4q9oUmW1yo/edit?usp=sharing"",""พิษณุโลก!J315"")"),25)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IFERROR(__xludf.DUMMYFUNCTION("IMPORTRANGE(""https://docs.google.com/spreadsheets/d/11923uPwbBZFjjGgGUA6NLw09EwE0CqkOc4q9oUmW1yo/edit?usp=sharing"",""พิษณุโลก!I316"")"),40)</f>
        <v>40</v>
      </c>
      <c r="J421" s="391">
        <f ca="1">IFERROR(__xludf.DUMMYFUNCTION("IMPORTRANGE(""https://docs.google.com/spreadsheets/d/11923uPwbBZFjjGgGUA6NLw09EwE0CqkOc4q9oUmW1yo/edit?usp=sharing"",""พิษณุโลก!J316"")"),40)</f>
        <v>40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IFERROR(__xludf.DUMMYFUNCTION("IMPORTRANGE(""https://docs.google.com/spreadsheets/d/11923uPwbBZFjjGgGUA6NLw09EwE0CqkOc4q9oUmW1yo/edit?usp=sharing"",""พิษณุโลก!I317"")"),120)</f>
        <v>120</v>
      </c>
      <c r="J422" s="392">
        <f ca="1">IFERROR(__xludf.DUMMYFUNCTION("IMPORTRANGE(""https://docs.google.com/spreadsheets/d/11923uPwbBZFjjGgGUA6NLw09EwE0CqkOc4q9oUmW1yo/edit?usp=sharing"",""พิษณุโลก!J317"")"),120)</f>
        <v>120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IFERROR(__xludf.DUMMYFUNCTION("IMPORTRANGE(""https://docs.google.com/spreadsheets/d/11923uPwbBZFjjGgGUA6NLw09EwE0CqkOc4q9oUmW1yo/edit?usp=sharing"",""พิษณุโลก!I318"")"),40)</f>
        <v>40</v>
      </c>
      <c r="J423" s="393">
        <f ca="1">IFERROR(__xludf.DUMMYFUNCTION("IMPORTRANGE(""https://docs.google.com/spreadsheets/d/11923uPwbBZFjjGgGUA6NLw09EwE0CqkOc4q9oUmW1yo/edit?usp=sharing"",""พิษณุโลก!J318"")"),40)</f>
        <v>40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IFERROR(__xludf.DUMMYFUNCTION("IMPORTRANGE(""https://docs.google.com/spreadsheets/d/11923uPwbBZFjjGgGUA6NLw09EwE0CqkOc4q9oUmW1yo/edit?usp=sharing"",""พิษณุโลก!I319"")"),40)</f>
        <v>40</v>
      </c>
      <c r="J424" s="393">
        <f ca="1">IFERROR(__xludf.DUMMYFUNCTION("IMPORTRANGE(""https://docs.google.com/spreadsheets/d/11923uPwbBZFjjGgGUA6NLw09EwE0CqkOc4q9oUmW1yo/edit?usp=sharing"",""พิษณุโลก!J319"")"),40)</f>
        <v>40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IFERROR(__xludf.DUMMYFUNCTION("IMPORTRANGE(""https://docs.google.com/spreadsheets/d/11923uPwbBZFjjGgGUA6NLw09EwE0CqkOc4q9oUmW1yo/edit?usp=sharing"",""พิษณุโลก!I320"")"),40)</f>
        <v>40</v>
      </c>
      <c r="J425" s="393">
        <f ca="1">IFERROR(__xludf.DUMMYFUNCTION("IMPORTRANGE(""https://docs.google.com/spreadsheets/d/11923uPwbBZFjjGgGUA6NLw09EwE0CqkOc4q9oUmW1yo/edit?usp=sharing"",""พิษณุโลก!J320"")"),40)</f>
        <v>40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IFERROR(__xludf.DUMMYFUNCTION("IMPORTRANGE(""https://docs.google.com/spreadsheets/d/11923uPwbBZFjjGgGUA6NLw09EwE0CqkOc4q9oUmW1yo/edit?usp=sharing"",""พิษณุโลก!I321"")"),10)</f>
        <v>10</v>
      </c>
      <c r="J426" s="391">
        <f ca="1">IFERROR(__xludf.DUMMYFUNCTION("IMPORTRANGE(""https://docs.google.com/spreadsheets/d/11923uPwbBZFjjGgGUA6NLw09EwE0CqkOc4q9oUmW1yo/edit?usp=sharing"",""พิษณุโลก!J321"")"),10)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IFERROR(__xludf.DUMMYFUNCTION("IMPORTRANGE(""https://docs.google.com/spreadsheets/d/11923uPwbBZFjjGgGUA6NLw09EwE0CqkOc4q9oUmW1yo/edit?usp=sharing"",""พิษณุโลก!I322"")"),30)</f>
        <v>30</v>
      </c>
      <c r="J427" s="392">
        <f ca="1">IFERROR(__xludf.DUMMYFUNCTION("IMPORTRANGE(""https://docs.google.com/spreadsheets/d/11923uPwbBZFjjGgGUA6NLw09EwE0CqkOc4q9oUmW1yo/edit?usp=sharing"",""พิษณุโลก!J322"")"),30)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IFERROR(__xludf.DUMMYFUNCTION("IMPORTRANGE(""https://docs.google.com/spreadsheets/d/11923uPwbBZFjjGgGUA6NLw09EwE0CqkOc4q9oUmW1yo/edit?usp=sharing"",""พิษณุโลก!I323"")"),10)</f>
        <v>10</v>
      </c>
      <c r="J428" s="393">
        <f ca="1">IFERROR(__xludf.DUMMYFUNCTION("IMPORTRANGE(""https://docs.google.com/spreadsheets/d/11923uPwbBZFjjGgGUA6NLw09EwE0CqkOc4q9oUmW1yo/edit?usp=sharing"",""พิษณุโลก!J323"")"),10)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IFERROR(__xludf.DUMMYFUNCTION("IMPORTRANGE(""https://docs.google.com/spreadsheets/d/11923uPwbBZFjjGgGUA6NLw09EwE0CqkOc4q9oUmW1yo/edit?usp=sharing"",""พิษณุโลก!I324"")"),10)</f>
        <v>10</v>
      </c>
      <c r="J429" s="393">
        <f ca="1">IFERROR(__xludf.DUMMYFUNCTION("IMPORTRANGE(""https://docs.google.com/spreadsheets/d/11923uPwbBZFjjGgGUA6NLw09EwE0CqkOc4q9oUmW1yo/edit?usp=sharing"",""พิษณุโลก!J324"")"),10)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IFERROR(__xludf.DUMMYFUNCTION("IMPORTRANGE(""https://docs.google.com/spreadsheets/d/11923uPwbBZFjjGgGUA6NLw09EwE0CqkOc4q9oUmW1yo/edit?usp=sharing"",""พิษณุโลก!I325"")"),65)</f>
        <v>65</v>
      </c>
      <c r="J430" s="391">
        <f ca="1">IFERROR(__xludf.DUMMYFUNCTION("IMPORTRANGE(""https://docs.google.com/spreadsheets/d/11923uPwbBZFjjGgGUA6NLw09EwE0CqkOc4q9oUmW1yo/edit?usp=sharing"",""พิษณุโลก!J325"")"),0)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IFERROR(__xludf.DUMMYFUNCTION("IMPORTRANGE(""https://docs.google.com/spreadsheets/d/11923uPwbBZFjjGgGUA6NLw09EwE0CqkOc4q9oUmW1yo/edit?usp=sharing"",""พิษณุโลก!I326"")"),25)</f>
        <v>25</v>
      </c>
      <c r="J431" s="393">
        <f ca="1">IFERROR(__xludf.DUMMYFUNCTION("IMPORTRANGE(""https://docs.google.com/spreadsheets/d/11923uPwbBZFjjGgGUA6NLw09EwE0CqkOc4q9oUmW1yo/edit?usp=sharing"",""พิษณุโลก!J326"")"),0)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IFERROR(__xludf.DUMMYFUNCTION("IMPORTRANGE(""https://docs.google.com/spreadsheets/d/11923uPwbBZFjjGgGUA6NLw09EwE0CqkOc4q9oUmW1yo/edit?usp=sharing"",""พิษณุโลก!I327"")"),40)</f>
        <v>40</v>
      </c>
      <c r="J432" s="393">
        <f ca="1">IFERROR(__xludf.DUMMYFUNCTION("IMPORTRANGE(""https://docs.google.com/spreadsheets/d/11923uPwbBZFjjGgGUA6NLw09EwE0CqkOc4q9oUmW1yo/edit?usp=sharing"",""พิษณุโลก!J327"")"),0)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IFERROR(__xludf.DUMMYFUNCTION("IMPORTRANGE(""https://docs.google.com/spreadsheets/d/11923uPwbBZFjjGgGUA6NLw09EwE0CqkOc4q9oUmW1yo/edit?usp=sharing"",""พิษณุโลก!J328"")"),0)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IFERROR(__xludf.DUMMYFUNCTION("IMPORTRANGE(""https://docs.google.com/spreadsheets/d/11923uPwbBZFjjGgGUA6NLw09EwE0CqkOc4q9oUmW1yo/edit?usp=sharing"",""พิษณุโลก!J329"")"),0)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IFERROR(__xludf.DUMMYFUNCTION("IMPORTRANGE(""https://docs.google.com/spreadsheets/d/11923uPwbBZFjjGgGUA6NLw09EwE0CqkOc4q9oUmW1yo/edit?usp=sharing"",""พิษณุโลก!I330"")"),20)</f>
        <v>20</v>
      </c>
      <c r="J435" s="409">
        <f ca="1">IFERROR(__xludf.DUMMYFUNCTION("IMPORTRANGE(""https://docs.google.com/spreadsheets/d/11923uPwbBZFjjGgGUA6NLw09EwE0CqkOc4q9oUmW1yo/edit?usp=sharing"",""พิษณุโลก!J330"")"),20)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IFERROR(__xludf.DUMMYFUNCTION("IMPORTRANGE(""https://docs.google.com/spreadsheets/d/11923uPwbBZFjjGgGUA6NLw09EwE0CqkOc4q9oUmW1yo/edit?usp=sharing"",""พิษณุโลก!L330"")"),100000)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IFERROR(__xludf.DUMMYFUNCTION("IMPORTRANGE(""https://docs.google.com/spreadsheets/d/11923uPwbBZFjjGgGUA6NLw09EwE0CqkOc4q9oUmW1yo/edit?usp=sharing"",""พิษณุโลก!M330"")"),79375)</f>
        <v>79375</v>
      </c>
      <c r="O435" s="411">
        <f t="shared" ref="O435:O439" ca="1" si="114">+IF(L435&gt;0,N435*100/L435,0)</f>
        <v>79.375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IFERROR(__xludf.DUMMYFUNCTION("IMPORTRANGE(""https://docs.google.com/spreadsheets/d/11923uPwbBZFjjGgGUA6NLw09EwE0CqkOc4q9oUmW1yo/edit?usp=sharing"",""พิษณุโลก!L331"")"),0)</f>
        <v>0</v>
      </c>
      <c r="M436" s="164"/>
      <c r="N436" s="168">
        <f ca="1">IFERROR(__xludf.DUMMYFUNCTION("IMPORTRANGE(""https://docs.google.com/spreadsheets/d/11923uPwbBZFjjGgGUA6NLw09EwE0CqkOc4q9oUmW1yo/edit?usp=sharing"",""พิษณุโลก!M331"")"),0)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IFERROR(__xludf.DUMMYFUNCTION("IMPORTRANGE(""https://docs.google.com/spreadsheets/d/11923uPwbBZFjjGgGUA6NLw09EwE0CqkOc4q9oUmW1yo/edit?usp=sharing"",""พิษณุโลก!L332"")"),100000)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IFERROR(__xludf.DUMMYFUNCTION("IMPORTRANGE(""https://docs.google.com/spreadsheets/d/11923uPwbBZFjjGgGUA6NLw09EwE0CqkOc4q9oUmW1yo/edit?usp=sharing"",""พิษณุโลก!M332"")"),79375)</f>
        <v>79375</v>
      </c>
      <c r="O437" s="168">
        <f t="shared" ca="1" si="114"/>
        <v>79.375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IFERROR(__xludf.DUMMYFUNCTION("IMPORTRANGE(""https://docs.google.com/spreadsheets/d/11923uPwbBZFjjGgGUA6NLw09EwE0CqkOc4q9oUmW1yo/edit?usp=sharing"",""พิษณุโลก!L333"")"),0)</f>
        <v>0</v>
      </c>
      <c r="M438" s="168"/>
      <c r="N438" s="168">
        <f ca="1">IFERROR(__xludf.DUMMYFUNCTION("IMPORTRANGE(""https://docs.google.com/spreadsheets/d/11923uPwbBZFjjGgGUA6NLw09EwE0CqkOc4q9oUmW1yo/edit?usp=sharing"",""พิษณุโลก!M333"")"),0)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IFERROR(__xludf.DUMMYFUNCTION("IMPORTRANGE(""https://docs.google.com/spreadsheets/d/11923uPwbBZFjjGgGUA6NLw09EwE0CqkOc4q9oUmW1yo/edit?usp=sharing"",""พิษณุโลก!L334"")"),100000)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IFERROR(__xludf.DUMMYFUNCTION("IMPORTRANGE(""https://docs.google.com/spreadsheets/d/11923uPwbBZFjjGgGUA6NLw09EwE0CqkOc4q9oUmW1yo/edit?usp=sharing"",""พิษณุโลก!M334"")"),79375)</f>
        <v>79375</v>
      </c>
      <c r="O439" s="168">
        <f t="shared" ca="1" si="114"/>
        <v>79.375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IFERROR(__xludf.DUMMYFUNCTION("IMPORTRANGE(""https://docs.google.com/spreadsheets/d/11923uPwbBZFjjGgGUA6NLw09EwE0CqkOc4q9oUmW1yo/edit?usp=sharing"",""พิษณุโลก!M335"")"),39880)</f>
        <v>39880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IFERROR(__xludf.DUMMYFUNCTION("IMPORTRANGE(""https://docs.google.com/spreadsheets/d/11923uPwbBZFjjGgGUA6NLw09EwE0CqkOc4q9oUmW1yo/edit?usp=sharing"",""พิษณุโลก!M336"")"),0)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IFERROR(__xludf.DUMMYFUNCTION("IMPORTRANGE(""https://docs.google.com/spreadsheets/d/11923uPwbBZFjjGgGUA6NLw09EwE0CqkOc4q9oUmW1yo/edit?usp=sharing"",""พิษณุโลก!M337"")"),0)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IFERROR(__xludf.DUMMYFUNCTION("IMPORTRANGE(""https://docs.google.com/spreadsheets/d/11923uPwbBZFjjGgGUA6NLw09EwE0CqkOc4q9oUmW1yo/edit?usp=sharing"",""พิษณุโลก!M338"")"),39495)</f>
        <v>39495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IFERROR(__xludf.DUMMYFUNCTION("IMPORTRANGE(""https://docs.google.com/spreadsheets/d/11923uPwbBZFjjGgGUA6NLw09EwE0CqkOc4q9oUmW1yo/edit?usp=sharing"",""พิษณุโลก!J340"")"),0)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IFERROR(__xludf.DUMMYFUNCTION("IMPORTRANGE(""https://docs.google.com/spreadsheets/d/11923uPwbBZFjjGgGUA6NLw09EwE0CqkOc4q9oUmW1yo/edit?usp=sharing"",""พิษณุโลก!J341"")"),1)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IFERROR(__xludf.DUMMYFUNCTION("IMPORTRANGE(""https://docs.google.com/spreadsheets/d/11923uPwbBZFjjGgGUA6NLw09EwE0CqkOc4q9oUmW1yo/edit?usp=sharing"",""พิษณุโลก!J342"")"),1)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IFERROR(__xludf.DUMMYFUNCTION("IMPORTRANGE(""https://docs.google.com/spreadsheets/d/11923uPwbBZFjjGgGUA6NLw09EwE0CqkOc4q9oUmW1yo/edit?usp=sharing"",""พิษณุโลก!J343"")"),1)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IFERROR(__xludf.DUMMYFUNCTION("IMPORTRANGE(""https://docs.google.com/spreadsheets/d/11923uPwbBZFjjGgGUA6NLw09EwE0CqkOc4q9oUmW1yo/edit?usp=sharing"",""พิษณุโลก!I344"")"),20)</f>
        <v>20</v>
      </c>
      <c r="J449" s="200">
        <f ca="1">IFERROR(__xludf.DUMMYFUNCTION("IMPORTRANGE(""https://docs.google.com/spreadsheets/d/11923uPwbBZFjjGgGUA6NLw09EwE0CqkOc4q9oUmW1yo/edit?usp=sharing"",""พิษณุโลก!J344"")"),20)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IFERROR(__xludf.DUMMYFUNCTION("IMPORTRANGE(""https://docs.google.com/spreadsheets/d/11923uPwbBZFjjGgGUA6NLw09EwE0CqkOc4q9oUmW1yo/edit?usp=sharing"",""พิษณุโลก!I345"")"),20)</f>
        <v>20</v>
      </c>
      <c r="J450" s="188">
        <f ca="1">IFERROR(__xludf.DUMMYFUNCTION("IMPORTRANGE(""https://docs.google.com/spreadsheets/d/11923uPwbBZFjjGgGUA6NLw09EwE0CqkOc4q9oUmW1yo/edit?usp=sharing"",""พิษณุโลก!J345"")"),20)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IFERROR(__xludf.DUMMYFUNCTION("IMPORTRANGE(""https://docs.google.com/spreadsheets/d/11923uPwbBZFjjGgGUA6NLw09EwE0CqkOc4q9oUmW1yo/edit?usp=sharing"",""พิษณุโลก!I346"")"),0)</f>
        <v>0</v>
      </c>
      <c r="J451" s="187">
        <f ca="1">IFERROR(__xludf.DUMMYFUNCTION("IMPORTRANGE(""https://docs.google.com/spreadsheets/d/11923uPwbBZFjjGgGUA6NLw09EwE0CqkOc4q9oUmW1yo/edit?usp=sharing"",""พิษณุโลก!J346"")"),0)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IFERROR(__xludf.DUMMYFUNCTION("IMPORTRANGE(""https://docs.google.com/spreadsheets/d/11923uPwbBZFjjGgGUA6NLw09EwE0CqkOc4q9oUmW1yo/edit?usp=sharing"",""พิษณุโลก!I347"")"),0)</f>
        <v>0</v>
      </c>
      <c r="J452" s="187">
        <f ca="1">IFERROR(__xludf.DUMMYFUNCTION("IMPORTRANGE(""https://docs.google.com/spreadsheets/d/11923uPwbBZFjjGgGUA6NLw09EwE0CqkOc4q9oUmW1yo/edit?usp=sharing"",""พิษณุโลก!J347"")"),0)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IFERROR(__xludf.DUMMYFUNCTION("IMPORTRANGE(""https://docs.google.com/spreadsheets/d/11923uPwbBZFjjGgGUA6NLw09EwE0CqkOc4q9oUmW1yo/edit?usp=sharing"",""พิษณุโลก!J348"")"),0)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IFERROR(__xludf.DUMMYFUNCTION("IMPORTRANGE(""https://docs.google.com/spreadsheets/d/11923uPwbBZFjjGgGUA6NLw09EwE0CqkOc4q9oUmW1yo/edit?usp=sharing"",""พิษณุโลก!J349"")"),0)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IFERROR(__xludf.DUMMYFUNCTION("IMPORTRANGE(""https://docs.google.com/spreadsheets/d/11923uPwbBZFjjGgGUA6NLw09EwE0CqkOc4q9oUmW1yo/edit?usp=sharing"",""พิษณุโลก!I350"")"),63132)</f>
        <v>63132</v>
      </c>
      <c r="J455" s="370">
        <f ca="1">IFERROR(__xludf.DUMMYFUNCTION("IMPORTRANGE(""https://docs.google.com/spreadsheets/d/11923uPwbBZFjjGgGUA6NLw09EwE0CqkOc4q9oUmW1yo/edit?usp=sharing"",""พิษณุโลก!J350"")"),59224)</f>
        <v>59224</v>
      </c>
      <c r="K455" s="371">
        <f ca="1">IF(I455&gt;0,J455*100/I455,0)</f>
        <v>93.809795349426594</v>
      </c>
      <c r="L455" s="372">
        <f ca="1">IFERROR(__xludf.DUMMYFUNCTION("IMPORTRANGE(""https://docs.google.com/spreadsheets/d/11923uPwbBZFjjGgGUA6NLw09EwE0CqkOc4q9oUmW1yo/edit?usp=sharing"",""พิษณุโลก!L350"")"),516245)</f>
        <v>516245</v>
      </c>
      <c r="M455" s="372"/>
      <c r="N455" s="372">
        <f ca="1">IFERROR(__xludf.DUMMYFUNCTION("IMPORTRANGE(""https://docs.google.com/spreadsheets/d/11923uPwbBZFjjGgGUA6NLw09EwE0CqkOc4q9oUmW1yo/edit?usp=sharing"",""พิษณุโลก!M350"")"),199988.58)</f>
        <v>199988.58</v>
      </c>
      <c r="O455" s="372">
        <f t="shared" ref="O455:O459" ca="1" si="116">+IF(L455&gt;0,N455*100/L455,0)</f>
        <v>38.739083187246365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IFERROR(__xludf.DUMMYFUNCTION("IMPORTRANGE(""https://docs.google.com/spreadsheets/d/11923uPwbBZFjjGgGUA6NLw09EwE0CqkOc4q9oUmW1yo/edit?usp=sharing"",""พิษณุโลก!L351"")"),0)</f>
        <v>0</v>
      </c>
      <c r="M456" s="164"/>
      <c r="N456" s="168">
        <f ca="1">IFERROR(__xludf.DUMMYFUNCTION("IMPORTRANGE(""https://docs.google.com/spreadsheets/d/11923uPwbBZFjjGgGUA6NLw09EwE0CqkOc4q9oUmW1yo/edit?usp=sharing"",""พิษณุโลก!M351"")"),0)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IFERROR(__xludf.DUMMYFUNCTION("IMPORTRANGE(""https://docs.google.com/spreadsheets/d/11923uPwbBZFjjGgGUA6NLw09EwE0CqkOc4q9oUmW1yo/edit?usp=sharing"",""พิษณุโลก!L352"")"),516245)</f>
        <v>516245</v>
      </c>
      <c r="M457" s="165"/>
      <c r="N457" s="168">
        <f ca="1">IFERROR(__xludf.DUMMYFUNCTION("IMPORTRANGE(""https://docs.google.com/spreadsheets/d/11923uPwbBZFjjGgGUA6NLw09EwE0CqkOc4q9oUmW1yo/edit?usp=sharing"",""พิษณุโลก!M352"")"),199988.58)</f>
        <v>199988.58</v>
      </c>
      <c r="O457" s="168">
        <f t="shared" ca="1" si="116"/>
        <v>38.739083187246365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IFERROR(__xludf.DUMMYFUNCTION("IMPORTRANGE(""https://docs.google.com/spreadsheets/d/11923uPwbBZFjjGgGUA6NLw09EwE0CqkOc4q9oUmW1yo/edit?usp=sharing"",""พิษณุโลก!L353"")"),0)</f>
        <v>0</v>
      </c>
      <c r="M458" s="168"/>
      <c r="N458" s="168">
        <f ca="1">IFERROR(__xludf.DUMMYFUNCTION("IMPORTRANGE(""https://docs.google.com/spreadsheets/d/11923uPwbBZFjjGgGUA6NLw09EwE0CqkOc4q9oUmW1yo/edit?usp=sharing"",""พิษณุโลก!M353"")"),0)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IFERROR(__xludf.DUMMYFUNCTION("IMPORTRANGE(""https://docs.google.com/spreadsheets/d/11923uPwbBZFjjGgGUA6NLw09EwE0CqkOc4q9oUmW1yo/edit?usp=sharing"",""พิษณุโลก!L354"")"),516245)</f>
        <v>516245</v>
      </c>
      <c r="M459" s="168"/>
      <c r="N459" s="168">
        <f ca="1">IFERROR(__xludf.DUMMYFUNCTION("IMPORTRANGE(""https://docs.google.com/spreadsheets/d/11923uPwbBZFjjGgGUA6NLw09EwE0CqkOc4q9oUmW1yo/edit?usp=sharing"",""พิษณุโลก!M354"")"),199988.58)</f>
        <v>199988.58</v>
      </c>
      <c r="O459" s="168">
        <f t="shared" ca="1" si="116"/>
        <v>38.739083187246365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IFERROR(__xludf.DUMMYFUNCTION("IMPORTRANGE(""https://docs.google.com/spreadsheets/d/11923uPwbBZFjjGgGUA6NLw09EwE0CqkOc4q9oUmW1yo/edit?usp=sharing"",""พิษณุโลก!M355"")"),0)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IFERROR(__xludf.DUMMYFUNCTION("IMPORTRANGE(""https://docs.google.com/spreadsheets/d/11923uPwbBZFjjGgGUA6NLw09EwE0CqkOc4q9oUmW1yo/edit?usp=sharing"",""พิษณุโลก!M356"")"),0)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IFERROR(__xludf.DUMMYFUNCTION("IMPORTRANGE(""https://docs.google.com/spreadsheets/d/11923uPwbBZFjjGgGUA6NLw09EwE0CqkOc4q9oUmW1yo/edit?usp=sharing"",""พิษณุโลก!M357"")"),86178.58)</f>
        <v>86178.58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IFERROR(__xludf.DUMMYFUNCTION("IMPORTRANGE(""https://docs.google.com/spreadsheets/d/11923uPwbBZFjjGgGUA6NLw09EwE0CqkOc4q9oUmW1yo/edit?usp=sharing"",""พิษณุโลก!M358"")"),113810)</f>
        <v>113810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IFERROR(__xludf.DUMMYFUNCTION("IMPORTRANGE(""https://docs.google.com/spreadsheets/d/11923uPwbBZFjjGgGUA6NLw09EwE0CqkOc4q9oUmW1yo/edit?usp=sharing"",""พิษณุโลก!I359"")"),63132)</f>
        <v>63132</v>
      </c>
      <c r="J464" s="267">
        <f ca="1">IFERROR(__xludf.DUMMYFUNCTION("IMPORTRANGE(""https://docs.google.com/spreadsheets/d/11923uPwbBZFjjGgGUA6NLw09EwE0CqkOc4q9oUmW1yo/edit?usp=sharing"",""พิษณุโลก!J359"")"),59224)</f>
        <v>59224</v>
      </c>
      <c r="K464" s="268">
        <f t="shared" ref="K464:K515" ca="1" si="117">IF(I464&gt;0,J464*100/I464,0)</f>
        <v>93.809795349426594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IFERROR(__xludf.DUMMYFUNCTION("IMPORTRANGE(""https://docs.google.com/spreadsheets/d/11923uPwbBZFjjGgGUA6NLw09EwE0CqkOc4q9oUmW1yo/edit?usp=sharing"",""พิษณุโลก!I360"")"),63132)</f>
        <v>63132</v>
      </c>
      <c r="J465" s="420">
        <f ca="1">IFERROR(__xludf.DUMMYFUNCTION("IMPORTRANGE(""https://docs.google.com/spreadsheets/d/11923uPwbBZFjjGgGUA6NLw09EwE0CqkOc4q9oUmW1yo/edit?usp=sharing"",""พิษณุโลก!J360"")"),63132)</f>
        <v>63132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IFERROR(__xludf.DUMMYFUNCTION("IMPORTRANGE(""https://docs.google.com/spreadsheets/d/11923uPwbBZFjjGgGUA6NLw09EwE0CqkOc4q9oUmW1yo/edit?usp=sharing"",""พิษณุโลก!I361"")"),5640)</f>
        <v>5640</v>
      </c>
      <c r="J466" s="420">
        <f ca="1">IFERROR(__xludf.DUMMYFUNCTION("IMPORTRANGE(""https://docs.google.com/spreadsheets/d/11923uPwbBZFjjGgGUA6NLw09EwE0CqkOc4q9oUmW1yo/edit?usp=sharing"",""พิษณุโลก!J361"")"),5640)</f>
        <v>5640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IFERROR(__xludf.DUMMYFUNCTION("IMPORTRANGE(""https://docs.google.com/spreadsheets/d/11923uPwbBZFjjGgGUA6NLw09EwE0CqkOc4q9oUmW1yo/edit?usp=sharing"",""พิษณุโลก!I362"")"),0)</f>
        <v>0</v>
      </c>
      <c r="J467" s="188">
        <f ca="1">IFERROR(__xludf.DUMMYFUNCTION("IMPORTRANGE(""https://docs.google.com/spreadsheets/d/11923uPwbBZFjjGgGUA6NLw09EwE0CqkOc4q9oUmW1yo/edit?usp=sharing"",""พิษณุโลก!J362"")"),51953)</f>
        <v>51953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IFERROR(__xludf.DUMMYFUNCTION("IMPORTRANGE(""https://docs.google.com/spreadsheets/d/11923uPwbBZFjjGgGUA6NLw09EwE0CqkOc4q9oUmW1yo/edit?usp=sharing"",""พิษณุโลก!I363"")"),0)</f>
        <v>0</v>
      </c>
      <c r="J468" s="188">
        <f ca="1">IFERROR(__xludf.DUMMYFUNCTION("IMPORTRANGE(""https://docs.google.com/spreadsheets/d/11923uPwbBZFjjGgGUA6NLw09EwE0CqkOc4q9oUmW1yo/edit?usp=sharing"",""พิษณุโลก!J363"")"),4913)</f>
        <v>4913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IFERROR(__xludf.DUMMYFUNCTION("IMPORTRANGE(""https://docs.google.com/spreadsheets/d/11923uPwbBZFjjGgGUA6NLw09EwE0CqkOc4q9oUmW1yo/edit?usp=sharing"",""พิษณุโลก!I364"")"),0)</f>
        <v>0</v>
      </c>
      <c r="J469" s="188">
        <f ca="1">IFERROR(__xludf.DUMMYFUNCTION("IMPORTRANGE(""https://docs.google.com/spreadsheets/d/11923uPwbBZFjjGgGUA6NLw09EwE0CqkOc4q9oUmW1yo/edit?usp=sharing"",""พิษณุโลก!J364"")"),10401)</f>
        <v>10401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IFERROR(__xludf.DUMMYFUNCTION("IMPORTRANGE(""https://docs.google.com/spreadsheets/d/11923uPwbBZFjjGgGUA6NLw09EwE0CqkOc4q9oUmW1yo/edit?usp=sharing"",""พิษณุโลก!I365"")"),0)</f>
        <v>0</v>
      </c>
      <c r="J470" s="188">
        <f ca="1">IFERROR(__xludf.DUMMYFUNCTION("IMPORTRANGE(""https://docs.google.com/spreadsheets/d/11923uPwbBZFjjGgGUA6NLw09EwE0CqkOc4q9oUmW1yo/edit?usp=sharing"",""พิษณุโลก!J365"")"),656)</f>
        <v>656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IFERROR(__xludf.DUMMYFUNCTION("IMPORTRANGE(""https://docs.google.com/spreadsheets/d/11923uPwbBZFjjGgGUA6NLw09EwE0CqkOc4q9oUmW1yo/edit?usp=sharing"",""พิษณุโลก!I366"")"),0)</f>
        <v>0</v>
      </c>
      <c r="J471" s="188">
        <f ca="1">IFERROR(__xludf.DUMMYFUNCTION("IMPORTRANGE(""https://docs.google.com/spreadsheets/d/11923uPwbBZFjjGgGUA6NLw09EwE0CqkOc4q9oUmW1yo/edit?usp=sharing"",""พิษณุโลก!J366"")"),778)</f>
        <v>778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IFERROR(__xludf.DUMMYFUNCTION("IMPORTRANGE(""https://docs.google.com/spreadsheets/d/11923uPwbBZFjjGgGUA6NLw09EwE0CqkOc4q9oUmW1yo/edit?usp=sharing"",""พิษณุโลก!I367"")"),0)</f>
        <v>0</v>
      </c>
      <c r="J472" s="188">
        <f ca="1">IFERROR(__xludf.DUMMYFUNCTION("IMPORTRANGE(""https://docs.google.com/spreadsheets/d/11923uPwbBZFjjGgGUA6NLw09EwE0CqkOc4q9oUmW1yo/edit?usp=sharing"",""พิษณุโลก!J367"")"),71)</f>
        <v>71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IFERROR(__xludf.DUMMYFUNCTION("IMPORTRANGE(""https://docs.google.com/spreadsheets/d/11923uPwbBZFjjGgGUA6NLw09EwE0CqkOc4q9oUmW1yo/edit?usp=sharing"",""พิษณุโลก!I368"")"),63132)</f>
        <v>63132</v>
      </c>
      <c r="J473" s="420">
        <f ca="1">IFERROR(__xludf.DUMMYFUNCTION("IMPORTRANGE(""https://docs.google.com/spreadsheets/d/11923uPwbBZFjjGgGUA6NLw09EwE0CqkOc4q9oUmW1yo/edit?usp=sharing"",""พิษณุโลก!J368"")"),63133)</f>
        <v>63133</v>
      </c>
      <c r="K473" s="201">
        <f t="shared" ca="1" si="117"/>
        <v>100.00158398276626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IFERROR(__xludf.DUMMYFUNCTION("IMPORTRANGE(""https://docs.google.com/spreadsheets/d/11923uPwbBZFjjGgGUA6NLw09EwE0CqkOc4q9oUmW1yo/edit?usp=sharing"",""พิษณุโลก!I369"")"),5640)</f>
        <v>5640</v>
      </c>
      <c r="J474" s="420">
        <f ca="1">IFERROR(__xludf.DUMMYFUNCTION("IMPORTRANGE(""https://docs.google.com/spreadsheets/d/11923uPwbBZFjjGgGUA6NLw09EwE0CqkOc4q9oUmW1yo/edit?usp=sharing"",""พิษณุโลก!J369"")"),5640)</f>
        <v>5640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IFERROR(__xludf.DUMMYFUNCTION("IMPORTRANGE(""https://docs.google.com/spreadsheets/d/11923uPwbBZFjjGgGUA6NLw09EwE0CqkOc4q9oUmW1yo/edit?usp=sharing"",""พิษณุโลก!I370"")"),0)</f>
        <v>0</v>
      </c>
      <c r="J475" s="188">
        <f ca="1">IFERROR(__xludf.DUMMYFUNCTION("IMPORTRANGE(""https://docs.google.com/spreadsheets/d/11923uPwbBZFjjGgGUA6NLw09EwE0CqkOc4q9oUmW1yo/edit?usp=sharing"",""พิษณุโลก!J370"")"),53607)</f>
        <v>53607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IFERROR(__xludf.DUMMYFUNCTION("IMPORTRANGE(""https://docs.google.com/spreadsheets/d/11923uPwbBZFjjGgGUA6NLw09EwE0CqkOc4q9oUmW1yo/edit?usp=sharing"",""พิษณุโลก!I371"")"),0)</f>
        <v>0</v>
      </c>
      <c r="J476" s="188">
        <f ca="1">IFERROR(__xludf.DUMMYFUNCTION("IMPORTRANGE(""https://docs.google.com/spreadsheets/d/11923uPwbBZFjjGgGUA6NLw09EwE0CqkOc4q9oUmW1yo/edit?usp=sharing"",""พิษณุโลก!J371"")"),5019)</f>
        <v>5019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IFERROR(__xludf.DUMMYFUNCTION("IMPORTRANGE(""https://docs.google.com/spreadsheets/d/11923uPwbBZFjjGgGUA6NLw09EwE0CqkOc4q9oUmW1yo/edit?usp=sharing"",""พิษณุโลก!I372"")"),0)</f>
        <v>0</v>
      </c>
      <c r="J477" s="188">
        <f ca="1">IFERROR(__xludf.DUMMYFUNCTION("IMPORTRANGE(""https://docs.google.com/spreadsheets/d/11923uPwbBZFjjGgGUA6NLw09EwE0CqkOc4q9oUmW1yo/edit?usp=sharing"",""พิษณุโลก!J372"")"),8519)</f>
        <v>8519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IFERROR(__xludf.DUMMYFUNCTION("IMPORTRANGE(""https://docs.google.com/spreadsheets/d/11923uPwbBZFjjGgGUA6NLw09EwE0CqkOc4q9oUmW1yo/edit?usp=sharing"",""พิษณุโลก!I373"")"),0)</f>
        <v>0</v>
      </c>
      <c r="J478" s="188">
        <f ca="1">IFERROR(__xludf.DUMMYFUNCTION("IMPORTRANGE(""https://docs.google.com/spreadsheets/d/11923uPwbBZFjjGgGUA6NLw09EwE0CqkOc4q9oUmW1yo/edit?usp=sharing"",""พิษณุโลก!J373"")"),521)</f>
        <v>521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IFERROR(__xludf.DUMMYFUNCTION("IMPORTRANGE(""https://docs.google.com/spreadsheets/d/11923uPwbBZFjjGgGUA6NLw09EwE0CqkOc4q9oUmW1yo/edit?usp=sharing"",""พิษณุโลก!I374"")"),0)</f>
        <v>0</v>
      </c>
      <c r="J479" s="188">
        <f ca="1">IFERROR(__xludf.DUMMYFUNCTION("IMPORTRANGE(""https://docs.google.com/spreadsheets/d/11923uPwbBZFjjGgGUA6NLw09EwE0CqkOc4q9oUmW1yo/edit?usp=sharing"",""พิษณุโลก!J374"")"),1007)</f>
        <v>1007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IFERROR(__xludf.DUMMYFUNCTION("IMPORTRANGE(""https://docs.google.com/spreadsheets/d/11923uPwbBZFjjGgGUA6NLw09EwE0CqkOc4q9oUmW1yo/edit?usp=sharing"",""พิษณุโลก!I375"")"),0)</f>
        <v>0</v>
      </c>
      <c r="J480" s="188">
        <f ca="1">IFERROR(__xludf.DUMMYFUNCTION("IMPORTRANGE(""https://docs.google.com/spreadsheets/d/11923uPwbBZFjjGgGUA6NLw09EwE0CqkOc4q9oUmW1yo/edit?usp=sharing"",""พิษณุโลก!J375"")"),100)</f>
        <v>100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IFERROR(__xludf.DUMMYFUNCTION("IMPORTRANGE(""https://docs.google.com/spreadsheets/d/11923uPwbBZFjjGgGUA6NLw09EwE0CqkOc4q9oUmW1yo/edit?usp=sharing"",""พิษณุโลก!I376"")"),63132)</f>
        <v>63132</v>
      </c>
      <c r="J481" s="420">
        <f ca="1">IFERROR(__xludf.DUMMYFUNCTION("IMPORTRANGE(""https://docs.google.com/spreadsheets/d/11923uPwbBZFjjGgGUA6NLw09EwE0CqkOc4q9oUmW1yo/edit?usp=sharing"",""พิษณุโลก!J376"")"),59224)</f>
        <v>59224</v>
      </c>
      <c r="K481" s="201">
        <f t="shared" ca="1" si="117"/>
        <v>93.809795349426594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IFERROR(__xludf.DUMMYFUNCTION("IMPORTRANGE(""https://docs.google.com/spreadsheets/d/11923uPwbBZFjjGgGUA6NLw09EwE0CqkOc4q9oUmW1yo/edit?usp=sharing"",""พิษณุโลก!I377"")"),5640)</f>
        <v>5640</v>
      </c>
      <c r="J482" s="420">
        <f ca="1">IFERROR(__xludf.DUMMYFUNCTION("IMPORTRANGE(""https://docs.google.com/spreadsheets/d/11923uPwbBZFjjGgGUA6NLw09EwE0CqkOc4q9oUmW1yo/edit?usp=sharing"",""พิษณุโลก!J377"")"),5381)</f>
        <v>5381</v>
      </c>
      <c r="K482" s="163">
        <f t="shared" ca="1" si="117"/>
        <v>95.407801418439718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IFERROR(__xludf.DUMMYFUNCTION("IMPORTRANGE(""https://docs.google.com/spreadsheets/d/11923uPwbBZFjjGgGUA6NLw09EwE0CqkOc4q9oUmW1yo/edit?usp=sharing"",""พิษณุโลก!I378"")"),0)</f>
        <v>0</v>
      </c>
      <c r="J483" s="188">
        <f ca="1">IFERROR(__xludf.DUMMYFUNCTION("IMPORTRANGE(""https://docs.google.com/spreadsheets/d/11923uPwbBZFjjGgGUA6NLw09EwE0CqkOc4q9oUmW1yo/edit?usp=sharing"",""พิษณุโลก!J378"")"),58163)</f>
        <v>58163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IFERROR(__xludf.DUMMYFUNCTION("IMPORTRANGE(""https://docs.google.com/spreadsheets/d/11923uPwbBZFjjGgGUA6NLw09EwE0CqkOc4q9oUmW1yo/edit?usp=sharing"",""พิษณุโลก!I379"")"),0)</f>
        <v>0</v>
      </c>
      <c r="J484" s="188">
        <f ca="1">IFERROR(__xludf.DUMMYFUNCTION("IMPORTRANGE(""https://docs.google.com/spreadsheets/d/11923uPwbBZFjjGgGUA6NLw09EwE0CqkOc4q9oUmW1yo/edit?usp=sharing"",""พิษณุโลก!J379"")"),5275)</f>
        <v>5275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IFERROR(__xludf.DUMMYFUNCTION("IMPORTRANGE(""https://docs.google.com/spreadsheets/d/11923uPwbBZFjjGgGUA6NLw09EwE0CqkOc4q9oUmW1yo/edit?usp=sharing"",""พิษณุโลก!I380"")"),0)</f>
        <v>0</v>
      </c>
      <c r="J485" s="188">
        <f ca="1">IFERROR(__xludf.DUMMYFUNCTION("IMPORTRANGE(""https://docs.google.com/spreadsheets/d/11923uPwbBZFjjGgGUA6NLw09EwE0CqkOc4q9oUmW1yo/edit?usp=sharing"",""พิษณุโลก!J380"")"),0)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IFERROR(__xludf.DUMMYFUNCTION("IMPORTRANGE(""https://docs.google.com/spreadsheets/d/11923uPwbBZFjjGgGUA6NLw09EwE0CqkOc4q9oUmW1yo/edit?usp=sharing"",""พิษณุโลก!I381"")"),0)</f>
        <v>0</v>
      </c>
      <c r="J486" s="188">
        <f ca="1">IFERROR(__xludf.DUMMYFUNCTION("IMPORTRANGE(""https://docs.google.com/spreadsheets/d/11923uPwbBZFjjGgGUA6NLw09EwE0CqkOc4q9oUmW1yo/edit?usp=sharing"",""พิษณุโลก!J381"")"),0)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IFERROR(__xludf.DUMMYFUNCTION("IMPORTRANGE(""https://docs.google.com/spreadsheets/d/11923uPwbBZFjjGgGUA6NLw09EwE0CqkOc4q9oUmW1yo/edit?usp=sharing"",""พิษณุโลก!I382"")"),0)</f>
        <v>0</v>
      </c>
      <c r="J487" s="420">
        <f ca="1">IFERROR(__xludf.DUMMYFUNCTION("IMPORTRANGE(""https://docs.google.com/spreadsheets/d/11923uPwbBZFjjGgGUA6NLw09EwE0CqkOc4q9oUmW1yo/edit?usp=sharing"",""พิษณุโลก!J382"")"),1061)</f>
        <v>1061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IFERROR(__xludf.DUMMYFUNCTION("IMPORTRANGE(""https://docs.google.com/spreadsheets/d/11923uPwbBZFjjGgGUA6NLw09EwE0CqkOc4q9oUmW1yo/edit?usp=sharing"",""พิษณุโลก!I383"")"),0)</f>
        <v>0</v>
      </c>
      <c r="J488" s="420">
        <f ca="1">IFERROR(__xludf.DUMMYFUNCTION("IMPORTRANGE(""https://docs.google.com/spreadsheets/d/11923uPwbBZFjjGgGUA6NLw09EwE0CqkOc4q9oUmW1yo/edit?usp=sharing"",""พิษณุโลก!J383"")"),106)</f>
        <v>106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IFERROR(__xludf.DUMMYFUNCTION("IMPORTRANGE(""https://docs.google.com/spreadsheets/d/11923uPwbBZFjjGgGUA6NLw09EwE0CqkOc4q9oUmW1yo/edit?usp=sharing"",""พิษณุโลก!I384"")"),0)</f>
        <v>0</v>
      </c>
      <c r="J489" s="188">
        <f ca="1">IFERROR(__xludf.DUMMYFUNCTION("IMPORTRANGE(""https://docs.google.com/spreadsheets/d/11923uPwbBZFjjGgGUA6NLw09EwE0CqkOc4q9oUmW1yo/edit?usp=sharing"",""พิษณุโลก!J384"")"),1061)</f>
        <v>1061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IFERROR(__xludf.DUMMYFUNCTION("IMPORTRANGE(""https://docs.google.com/spreadsheets/d/11923uPwbBZFjjGgGUA6NLw09EwE0CqkOc4q9oUmW1yo/edit?usp=sharing"",""พิษณุโลก!I385"")"),0)</f>
        <v>0</v>
      </c>
      <c r="J490" s="188">
        <f ca="1">IFERROR(__xludf.DUMMYFUNCTION("IMPORTRANGE(""https://docs.google.com/spreadsheets/d/11923uPwbBZFjjGgGUA6NLw09EwE0CqkOc4q9oUmW1yo/edit?usp=sharing"",""พิษณุโลก!J385"")"),106)</f>
        <v>106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IFERROR(__xludf.DUMMYFUNCTION("IMPORTRANGE(""https://docs.google.com/spreadsheets/d/11923uPwbBZFjjGgGUA6NLw09EwE0CqkOc4q9oUmW1yo/edit?usp=sharing"",""พิษณุโลก!I386"")"),0)</f>
        <v>0</v>
      </c>
      <c r="J491" s="188">
        <f ca="1">IFERROR(__xludf.DUMMYFUNCTION("IMPORTRANGE(""https://docs.google.com/spreadsheets/d/11923uPwbBZFjjGgGUA6NLw09EwE0CqkOc4q9oUmW1yo/edit?usp=sharing"",""พิษณุโลก!J386"")"),0)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IFERROR(__xludf.DUMMYFUNCTION("IMPORTRANGE(""https://docs.google.com/spreadsheets/d/11923uPwbBZFjjGgGUA6NLw09EwE0CqkOc4q9oUmW1yo/edit?usp=sharing"",""พิษณุโลก!I387"")"),0)</f>
        <v>0</v>
      </c>
      <c r="J492" s="188">
        <f ca="1">IFERROR(__xludf.DUMMYFUNCTION("IMPORTRANGE(""https://docs.google.com/spreadsheets/d/11923uPwbBZFjjGgGUA6NLw09EwE0CqkOc4q9oUmW1yo/edit?usp=sharing"",""พิษณุโลก!J387"")"),0)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IFERROR(__xludf.DUMMYFUNCTION("IMPORTRANGE(""https://docs.google.com/spreadsheets/d/11923uPwbBZFjjGgGUA6NLw09EwE0CqkOc4q9oUmW1yo/edit?usp=sharing"",""พิษณุโลก!I388"")"),0)</f>
        <v>0</v>
      </c>
      <c r="J493" s="188">
        <f ca="1">IFERROR(__xludf.DUMMYFUNCTION("IMPORTRANGE(""https://docs.google.com/spreadsheets/d/11923uPwbBZFjjGgGUA6NLw09EwE0CqkOc4q9oUmW1yo/edit?usp=sharing"",""พิษณุโลก!J388"")"),0)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IFERROR(__xludf.DUMMYFUNCTION("IMPORTRANGE(""https://docs.google.com/spreadsheets/d/11923uPwbBZFjjGgGUA6NLw09EwE0CqkOc4q9oUmW1yo/edit?usp=sharing"",""พิษณุโลก!I389"")"),0)</f>
        <v>0</v>
      </c>
      <c r="J494" s="436">
        <f ca="1">IFERROR(__xludf.DUMMYFUNCTION("IMPORTRANGE(""https://docs.google.com/spreadsheets/d/11923uPwbBZFjjGgGUA6NLw09EwE0CqkOc4q9oUmW1yo/edit?usp=sharing"",""พิษณุโลก!J389"")"),0)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IFERROR(__xludf.DUMMYFUNCTION("IMPORTRANGE(""https://docs.google.com/spreadsheets/d/11923uPwbBZFjjGgGUA6NLw09EwE0CqkOc4q9oUmW1yo/edit?usp=sharing"",""พิษณุโลก!I390"")"),0)</f>
        <v>0</v>
      </c>
      <c r="J495" s="436">
        <f ca="1">IFERROR(__xludf.DUMMYFUNCTION("IMPORTRANGE(""https://docs.google.com/spreadsheets/d/11923uPwbBZFjjGgGUA6NLw09EwE0CqkOc4q9oUmW1yo/edit?usp=sharing"",""พิษณุโลก!J390"")"),0)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IFERROR(__xludf.DUMMYFUNCTION("IMPORTRANGE(""https://docs.google.com/spreadsheets/d/11923uPwbBZFjjGgGUA6NLw09EwE0CqkOc4q9oUmW1yo/edit?usp=sharing"",""พิษณุโลก!I391"")"),0)</f>
        <v>0</v>
      </c>
      <c r="J496" s="436">
        <f ca="1">IFERROR(__xludf.DUMMYFUNCTION("IMPORTRANGE(""https://docs.google.com/spreadsheets/d/11923uPwbBZFjjGgGUA6NLw09EwE0CqkOc4q9oUmW1yo/edit?usp=sharing"",""พิษณุโลก!J391"")"),0)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IFERROR(__xludf.DUMMYFUNCTION("IMPORTRANGE(""https://docs.google.com/spreadsheets/d/11923uPwbBZFjjGgGUA6NLw09EwE0CqkOc4q9oUmW1yo/edit?usp=sharing"",""พิษณุโลก!I392"")"),1774)</f>
        <v>1774</v>
      </c>
      <c r="J497" s="443">
        <f ca="1">IFERROR(__xludf.DUMMYFUNCTION("IMPORTRANGE(""https://docs.google.com/spreadsheets/d/11923uPwbBZFjjGgGUA6NLw09EwE0CqkOc4q9oUmW1yo/edit?usp=sharing"",""พิษณุโลก!J392"")"),1774)</f>
        <v>1774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IFERROR(__xludf.DUMMYFUNCTION("IMPORTRANGE(""https://docs.google.com/spreadsheets/d/11923uPwbBZFjjGgGUA6NLw09EwE0CqkOc4q9oUmW1yo/edit?usp=sharing"",""พิษณุโลก!I393"")"),1774)</f>
        <v>1774</v>
      </c>
      <c r="J498" s="420">
        <f ca="1">IFERROR(__xludf.DUMMYFUNCTION("IMPORTRANGE(""https://docs.google.com/spreadsheets/d/11923uPwbBZFjjGgGUA6NLw09EwE0CqkOc4q9oUmW1yo/edit?usp=sharing"",""พิษณุโลก!J393"")"),1774)</f>
        <v>1774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IFERROR(__xludf.DUMMYFUNCTION("IMPORTRANGE(""https://docs.google.com/spreadsheets/d/11923uPwbBZFjjGgGUA6NLw09EwE0CqkOc4q9oUmW1yo/edit?usp=sharing"",""พิษณุโลก!I394"")"),106)</f>
        <v>106</v>
      </c>
      <c r="J499" s="420">
        <f ca="1">IFERROR(__xludf.DUMMYFUNCTION("IMPORTRANGE(""https://docs.google.com/spreadsheets/d/11923uPwbBZFjjGgGUA6NLw09EwE0CqkOc4q9oUmW1yo/edit?usp=sharing"",""พิษณุโลก!J394"")"),106)</f>
        <v>106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IFERROR(__xludf.DUMMYFUNCTION("IMPORTRANGE(""https://docs.google.com/spreadsheets/d/11923uPwbBZFjjGgGUA6NLw09EwE0CqkOc4q9oUmW1yo/edit?usp=sharing"",""พิษณุโลก!I395"")"),0)</f>
        <v>0</v>
      </c>
      <c r="J500" s="162">
        <f ca="1">IFERROR(__xludf.DUMMYFUNCTION("IMPORTRANGE(""https://docs.google.com/spreadsheets/d/11923uPwbBZFjjGgGUA6NLw09EwE0CqkOc4q9oUmW1yo/edit?usp=sharing"",""พิษณุโลก!J395"")"),1668)</f>
        <v>1668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IFERROR(__xludf.DUMMYFUNCTION("IMPORTRANGE(""https://docs.google.com/spreadsheets/d/11923uPwbBZFjjGgGUA6NLw09EwE0CqkOc4q9oUmW1yo/edit?usp=sharing"",""พิษณุโลก!I396"")"),0)</f>
        <v>0</v>
      </c>
      <c r="J501" s="162">
        <f ca="1">IFERROR(__xludf.DUMMYFUNCTION("IMPORTRANGE(""https://docs.google.com/spreadsheets/d/11923uPwbBZFjjGgGUA6NLw09EwE0CqkOc4q9oUmW1yo/edit?usp=sharing"",""พิษณุโลก!J396"")"),102)</f>
        <v>102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IFERROR(__xludf.DUMMYFUNCTION("IMPORTRANGE(""https://docs.google.com/spreadsheets/d/11923uPwbBZFjjGgGUA6NLw09EwE0CqkOc4q9oUmW1yo/edit?usp=sharing"",""พิษณุโลก!I397"")"),0)</f>
        <v>0</v>
      </c>
      <c r="J502" s="188">
        <f ca="1">IFERROR(__xludf.DUMMYFUNCTION("IMPORTRANGE(""https://docs.google.com/spreadsheets/d/11923uPwbBZFjjGgGUA6NLw09EwE0CqkOc4q9oUmW1yo/edit?usp=sharing"",""พิษณุโลก!J397"")"),960)</f>
        <v>960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IFERROR(__xludf.DUMMYFUNCTION("IMPORTRANGE(""https://docs.google.com/spreadsheets/d/11923uPwbBZFjjGgGUA6NLw09EwE0CqkOc4q9oUmW1yo/edit?usp=sharing"",""พิษณุโลก!I398"")"),0)</f>
        <v>0</v>
      </c>
      <c r="J503" s="197">
        <f ca="1">IFERROR(__xludf.DUMMYFUNCTION("IMPORTRANGE(""https://docs.google.com/spreadsheets/d/11923uPwbBZFjjGgGUA6NLw09EwE0CqkOc4q9oUmW1yo/edit?usp=sharing"",""พิษณุโลก!J398"")"),63)</f>
        <v>63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IFERROR(__xludf.DUMMYFUNCTION("IMPORTRANGE(""https://docs.google.com/spreadsheets/d/11923uPwbBZFjjGgGUA6NLw09EwE0CqkOc4q9oUmW1yo/edit?usp=sharing"",""พิษณุโลก!I399"")"),0)</f>
        <v>0</v>
      </c>
      <c r="J504" s="188">
        <f ca="1">IFERROR(__xludf.DUMMYFUNCTION("IMPORTRANGE(""https://docs.google.com/spreadsheets/d/11923uPwbBZFjjGgGUA6NLw09EwE0CqkOc4q9oUmW1yo/edit?usp=sharing"",""พิษณุโลก!J399"")"),708)</f>
        <v>708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IFERROR(__xludf.DUMMYFUNCTION("IMPORTRANGE(""https://docs.google.com/spreadsheets/d/11923uPwbBZFjjGgGUA6NLw09EwE0CqkOc4q9oUmW1yo/edit?usp=sharing"",""พิษณุโลก!I400"")"),0)</f>
        <v>0</v>
      </c>
      <c r="J505" s="197">
        <f ca="1">IFERROR(__xludf.DUMMYFUNCTION("IMPORTRANGE(""https://docs.google.com/spreadsheets/d/11923uPwbBZFjjGgGUA6NLw09EwE0CqkOc4q9oUmW1yo/edit?usp=sharing"",""พิษณุโลก!J400"")"),39)</f>
        <v>39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IFERROR(__xludf.DUMMYFUNCTION("IMPORTRANGE(""https://docs.google.com/spreadsheets/d/11923uPwbBZFjjGgGUA6NLw09EwE0CqkOc4q9oUmW1yo/edit?usp=sharing"",""พิษณุโลก!I401"")"),0)</f>
        <v>0</v>
      </c>
      <c r="J506" s="188">
        <f ca="1">IFERROR(__xludf.DUMMYFUNCTION("IMPORTRANGE(""https://docs.google.com/spreadsheets/d/11923uPwbBZFjjGgGUA6NLw09EwE0CqkOc4q9oUmW1yo/edit?usp=sharing"",""พิษณุโลก!J401"")"),0)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IFERROR(__xludf.DUMMYFUNCTION("IMPORTRANGE(""https://docs.google.com/spreadsheets/d/11923uPwbBZFjjGgGUA6NLw09EwE0CqkOc4q9oUmW1yo/edit?usp=sharing"",""พิษณุโลก!I402"")"),0)</f>
        <v>0</v>
      </c>
      <c r="J507" s="197">
        <f ca="1">IFERROR(__xludf.DUMMYFUNCTION("IMPORTRANGE(""https://docs.google.com/spreadsheets/d/11923uPwbBZFjjGgGUA6NLw09EwE0CqkOc4q9oUmW1yo/edit?usp=sharing"",""พิษณุโลก!J402"")"),0)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IFERROR(__xludf.DUMMYFUNCTION("IMPORTRANGE(""https://docs.google.com/spreadsheets/d/11923uPwbBZFjjGgGUA6NLw09EwE0CqkOc4q9oUmW1yo/edit?usp=sharing"",""พิษณุโลก!I403"")"),0)</f>
        <v>0</v>
      </c>
      <c r="J508" s="162">
        <f ca="1">IFERROR(__xludf.DUMMYFUNCTION("IMPORTRANGE(""https://docs.google.com/spreadsheets/d/11923uPwbBZFjjGgGUA6NLw09EwE0CqkOc4q9oUmW1yo/edit?usp=sharing"",""พิษณุโลก!J403"")"),106)</f>
        <v>106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IFERROR(__xludf.DUMMYFUNCTION("IMPORTRANGE(""https://docs.google.com/spreadsheets/d/11923uPwbBZFjjGgGUA6NLw09EwE0CqkOc4q9oUmW1yo/edit?usp=sharing"",""พิษณุโลก!I404"")"),0)</f>
        <v>0</v>
      </c>
      <c r="J509" s="162">
        <f ca="1">IFERROR(__xludf.DUMMYFUNCTION("IMPORTRANGE(""https://docs.google.com/spreadsheets/d/11923uPwbBZFjjGgGUA6NLw09EwE0CqkOc4q9oUmW1yo/edit?usp=sharing"",""พิษณุโลก!J404"")"),4)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IFERROR(__xludf.DUMMYFUNCTION("IMPORTRANGE(""https://docs.google.com/spreadsheets/d/11923uPwbBZFjjGgGUA6NLw09EwE0CqkOc4q9oUmW1yo/edit?usp=sharing"",""พิษณุโลก!I405"")"),0)</f>
        <v>0</v>
      </c>
      <c r="J510" s="197">
        <f ca="1">IFERROR(__xludf.DUMMYFUNCTION("IMPORTRANGE(""https://docs.google.com/spreadsheets/d/11923uPwbBZFjjGgGUA6NLw09EwE0CqkOc4q9oUmW1yo/edit?usp=sharing"",""พิษณุโลก!J405"")"),106)</f>
        <v>106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IFERROR(__xludf.DUMMYFUNCTION("IMPORTRANGE(""https://docs.google.com/spreadsheets/d/11923uPwbBZFjjGgGUA6NLw09EwE0CqkOc4q9oUmW1yo/edit?usp=sharing"",""พิษณุโลก!I406"")"),0)</f>
        <v>0</v>
      </c>
      <c r="J511" s="197">
        <f ca="1">IFERROR(__xludf.DUMMYFUNCTION("IMPORTRANGE(""https://docs.google.com/spreadsheets/d/11923uPwbBZFjjGgGUA6NLw09EwE0CqkOc4q9oUmW1yo/edit?usp=sharing"",""พิษณุโลก!J406"")"),4)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IFERROR(__xludf.DUMMYFUNCTION("IMPORTRANGE(""https://docs.google.com/spreadsheets/d/11923uPwbBZFjjGgGUA6NLw09EwE0CqkOc4q9oUmW1yo/edit?usp=sharing"",""พิษณุโลก!I407"")"),0)</f>
        <v>0</v>
      </c>
      <c r="J512" s="197">
        <f ca="1">IFERROR(__xludf.DUMMYFUNCTION("IMPORTRANGE(""https://docs.google.com/spreadsheets/d/11923uPwbBZFjjGgGUA6NLw09EwE0CqkOc4q9oUmW1yo/edit?usp=sharing"",""พิษณุโลก!J407"")"),0)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IFERROR(__xludf.DUMMYFUNCTION("IMPORTRANGE(""https://docs.google.com/spreadsheets/d/11923uPwbBZFjjGgGUA6NLw09EwE0CqkOc4q9oUmW1yo/edit?usp=sharing"",""พิษณุโลก!I408"")"),0)</f>
        <v>0</v>
      </c>
      <c r="J513" s="197">
        <f ca="1">IFERROR(__xludf.DUMMYFUNCTION("IMPORTRANGE(""https://docs.google.com/spreadsheets/d/11923uPwbBZFjjGgGUA6NLw09EwE0CqkOc4q9oUmW1yo/edit?usp=sharing"",""พิษณุโลก!J408"")"),0)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IFERROR(__xludf.DUMMYFUNCTION("IMPORTRANGE(""https://docs.google.com/spreadsheets/d/11923uPwbBZFjjGgGUA6NLw09EwE0CqkOc4q9oUmW1yo/edit?usp=sharing"",""พิษณุโลก!I409"")"),0)</f>
        <v>0</v>
      </c>
      <c r="J514" s="197">
        <f ca="1">IFERROR(__xludf.DUMMYFUNCTION("IMPORTRANGE(""https://docs.google.com/spreadsheets/d/11923uPwbBZFjjGgGUA6NLw09EwE0CqkOc4q9oUmW1yo/edit?usp=sharing"",""พิษณุโลก!J409"")"),0)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IFERROR(__xludf.DUMMYFUNCTION("IMPORTRANGE(""https://docs.google.com/spreadsheets/d/11923uPwbBZFjjGgGUA6NLw09EwE0CqkOc4q9oUmW1yo/edit?usp=sharing"",""พิษณุโลก!I410"")"),0)</f>
        <v>0</v>
      </c>
      <c r="J515" s="197">
        <f ca="1">IFERROR(__xludf.DUMMYFUNCTION("IMPORTRANGE(""https://docs.google.com/spreadsheets/d/11923uPwbBZFjjGgGUA6NLw09EwE0CqkOc4q9oUmW1yo/edit?usp=sharing"",""พิษณุโลก!J410"")"),0)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IFERROR(__xludf.DUMMYFUNCTION("IMPORTRANGE(""https://docs.google.com/spreadsheets/d/11923uPwbBZFjjGgGUA6NLw09EwE0CqkOc4q9oUmW1yo/edit?usp=sharing"",""พิษณุโลก!I411"")"),0)</f>
        <v>0</v>
      </c>
      <c r="J516" s="267">
        <f ca="1">IFERROR(__xludf.DUMMYFUNCTION("IMPORTRANGE(""https://docs.google.com/spreadsheets/d/11923uPwbBZFjjGgGUA6NLw09EwE0CqkOc4q9oUmW1yo/edit?usp=sharing"",""พิษณุโลก!J411"")"),0)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IFERROR(__xludf.DUMMYFUNCTION("IMPORTRANGE(""https://docs.google.com/spreadsheets/d/11923uPwbBZFjjGgGUA6NLw09EwE0CqkOc4q9oUmW1yo/edit?usp=sharing"",""พิษณุโลก!I412"")"),0)</f>
        <v>0</v>
      </c>
      <c r="J517" s="284">
        <f ca="1">IFERROR(__xludf.DUMMYFUNCTION("IMPORTRANGE(""https://docs.google.com/spreadsheets/d/11923uPwbBZFjjGgGUA6NLw09EwE0CqkOc4q9oUmW1yo/edit?usp=sharing"",""พิษณุโลก!J412"")"),0)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IFERROR(__xludf.DUMMYFUNCTION("IMPORTRANGE(""https://docs.google.com/spreadsheets/d/11923uPwbBZFjjGgGUA6NLw09EwE0CqkOc4q9oUmW1yo/edit?usp=sharing"",""พิษณุโลก!I413"")"),0)</f>
        <v>0</v>
      </c>
      <c r="J518" s="284">
        <f ca="1">IFERROR(__xludf.DUMMYFUNCTION("IMPORTRANGE(""https://docs.google.com/spreadsheets/d/11923uPwbBZFjjGgGUA6NLw09EwE0CqkOc4q9oUmW1yo/edit?usp=sharing"",""พิษณุโลก!J413"")"),0)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IFERROR(__xludf.DUMMYFUNCTION("IMPORTRANGE(""https://docs.google.com/spreadsheets/d/11923uPwbBZFjjGgGUA6NLw09EwE0CqkOc4q9oUmW1yo/edit?usp=sharing"",""พิษณุโลก!I414"")"),0)</f>
        <v>0</v>
      </c>
      <c r="J519" s="187">
        <f ca="1">IFERROR(__xludf.DUMMYFUNCTION("IMPORTRANGE(""https://docs.google.com/spreadsheets/d/11923uPwbBZFjjGgGUA6NLw09EwE0CqkOc4q9oUmW1yo/edit?usp=sharing"",""พิษณุโลก!J414"")"),0)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IFERROR(__xludf.DUMMYFUNCTION("IMPORTRANGE(""https://docs.google.com/spreadsheets/d/11923uPwbBZFjjGgGUA6NLw09EwE0CqkOc4q9oUmW1yo/edit?usp=sharing"",""พิษณุโลก!I415"")"),0)</f>
        <v>0</v>
      </c>
      <c r="J520" s="187">
        <f ca="1">IFERROR(__xludf.DUMMYFUNCTION("IMPORTRANGE(""https://docs.google.com/spreadsheets/d/11923uPwbBZFjjGgGUA6NLw09EwE0CqkOc4q9oUmW1yo/edit?usp=sharing"",""พิษณุโลก!J415"")"),0)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IFERROR(__xludf.DUMMYFUNCTION("IMPORTRANGE(""https://docs.google.com/spreadsheets/d/11923uPwbBZFjjGgGUA6NLw09EwE0CqkOc4q9oUmW1yo/edit?usp=sharing"",""พิษณุโลก!I416"")"),0)</f>
        <v>0</v>
      </c>
      <c r="J521" s="187">
        <f ca="1">IFERROR(__xludf.DUMMYFUNCTION("IMPORTRANGE(""https://docs.google.com/spreadsheets/d/11923uPwbBZFjjGgGUA6NLw09EwE0CqkOc4q9oUmW1yo/edit?usp=sharing"",""พิษณุโลก!J416"")"),0)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IFERROR(__xludf.DUMMYFUNCTION("IMPORTRANGE(""https://docs.google.com/spreadsheets/d/11923uPwbBZFjjGgGUA6NLw09EwE0CqkOc4q9oUmW1yo/edit?usp=sharing"",""พิษณุโลก!I417"")"),0)</f>
        <v>0</v>
      </c>
      <c r="J522" s="187">
        <f ca="1">IFERROR(__xludf.DUMMYFUNCTION("IMPORTRANGE(""https://docs.google.com/spreadsheets/d/11923uPwbBZFjjGgGUA6NLw09EwE0CqkOc4q9oUmW1yo/edit?usp=sharing"",""พิษณุโลก!J417"")"),0)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IFERROR(__xludf.DUMMYFUNCTION("IMPORTRANGE(""https://docs.google.com/spreadsheets/d/11923uPwbBZFjjGgGUA6NLw09EwE0CqkOc4q9oUmW1yo/edit?usp=sharing"",""พิษณุโลก!I418"")"),0)</f>
        <v>0</v>
      </c>
      <c r="J523" s="187">
        <f ca="1">IFERROR(__xludf.DUMMYFUNCTION("IMPORTRANGE(""https://docs.google.com/spreadsheets/d/11923uPwbBZFjjGgGUA6NLw09EwE0CqkOc4q9oUmW1yo/edit?usp=sharing"",""พิษณุโลก!J418"")"),22)</f>
        <v>22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IFERROR(__xludf.DUMMYFUNCTION("IMPORTRANGE(""https://docs.google.com/spreadsheets/d/11923uPwbBZFjjGgGUA6NLw09EwE0CqkOc4q9oUmW1yo/edit?usp=sharing"",""พิษณุโลก!I419"")"),0)</f>
        <v>0</v>
      </c>
      <c r="J524" s="187">
        <f ca="1">IFERROR(__xludf.DUMMYFUNCTION("IMPORTRANGE(""https://docs.google.com/spreadsheets/d/11923uPwbBZFjjGgGUA6NLw09EwE0CqkOc4q9oUmW1yo/edit?usp=sharing"",""พิษณุโลก!J419"")"),2)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IFERROR(__xludf.DUMMYFUNCTION("IMPORTRANGE(""https://docs.google.com/spreadsheets/d/11923uPwbBZFjjGgGUA6NLw09EwE0CqkOc4q9oUmW1yo/edit?usp=sharing"",""พิษณุโลก!I420"")"),22)</f>
        <v>22</v>
      </c>
      <c r="J525" s="284">
        <f ca="1">IFERROR(__xludf.DUMMYFUNCTION("IMPORTRANGE(""https://docs.google.com/spreadsheets/d/11923uPwbBZFjjGgGUA6NLw09EwE0CqkOc4q9oUmW1yo/edit?usp=sharing"",""พิษณุโลก!J420"")"),22)</f>
        <v>22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IFERROR(__xludf.DUMMYFUNCTION("IMPORTRANGE(""https://docs.google.com/spreadsheets/d/11923uPwbBZFjjGgGUA6NLw09EwE0CqkOc4q9oUmW1yo/edit?usp=sharing"",""พิษณุโลก!I421"")"),2)</f>
        <v>2</v>
      </c>
      <c r="J526" s="284">
        <f ca="1">IFERROR(__xludf.DUMMYFUNCTION("IMPORTRANGE(""https://docs.google.com/spreadsheets/d/11923uPwbBZFjjGgGUA6NLw09EwE0CqkOc4q9oUmW1yo/edit?usp=sharing"",""พิษณุโลก!J421"")"),2)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IFERROR(__xludf.DUMMYFUNCTION("IMPORTRANGE(""https://docs.google.com/spreadsheets/d/11923uPwbBZFjjGgGUA6NLw09EwE0CqkOc4q9oUmW1yo/edit?usp=sharing"",""พิษณุโลก!I422"")"),0)</f>
        <v>0</v>
      </c>
      <c r="J527" s="197">
        <f ca="1">IFERROR(__xludf.DUMMYFUNCTION("IMPORTRANGE(""https://docs.google.com/spreadsheets/d/11923uPwbBZFjjGgGUA6NLw09EwE0CqkOc4q9oUmW1yo/edit?usp=sharing"",""พิษณุโลก!J422"")"),17)</f>
        <v>17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IFERROR(__xludf.DUMMYFUNCTION("IMPORTRANGE(""https://docs.google.com/spreadsheets/d/11923uPwbBZFjjGgGUA6NLw09EwE0CqkOc4q9oUmW1yo/edit?usp=sharing"",""พิษณุโลก!I423"")"),0)</f>
        <v>0</v>
      </c>
      <c r="J528" s="197">
        <f ca="1">IFERROR(__xludf.DUMMYFUNCTION("IMPORTRANGE(""https://docs.google.com/spreadsheets/d/11923uPwbBZFjjGgGUA6NLw09EwE0CqkOc4q9oUmW1yo/edit?usp=sharing"",""พิษณุโลก!J423"")"),1)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IFERROR(__xludf.DUMMYFUNCTION("IMPORTRANGE(""https://docs.google.com/spreadsheets/d/11923uPwbBZFjjGgGUA6NLw09EwE0CqkOc4q9oUmW1yo/edit?usp=sharing"",""พิษณุโลก!I424"")"),0)</f>
        <v>0</v>
      </c>
      <c r="J529" s="197">
        <f ca="1">IFERROR(__xludf.DUMMYFUNCTION("IMPORTRANGE(""https://docs.google.com/spreadsheets/d/11923uPwbBZFjjGgGUA6NLw09EwE0CqkOc4q9oUmW1yo/edit?usp=sharing"",""พิษณุโลก!J424"")"),5)</f>
        <v>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IFERROR(__xludf.DUMMYFUNCTION("IMPORTRANGE(""https://docs.google.com/spreadsheets/d/11923uPwbBZFjjGgGUA6NLw09EwE0CqkOc4q9oUmW1yo/edit?usp=sharing"",""พิษณุโลก!I425"")"),0)</f>
        <v>0</v>
      </c>
      <c r="J530" s="197">
        <f ca="1">IFERROR(__xludf.DUMMYFUNCTION("IMPORTRANGE(""https://docs.google.com/spreadsheets/d/11923uPwbBZFjjGgGUA6NLw09EwE0CqkOc4q9oUmW1yo/edit?usp=sharing"",""พิษณุโลก!J425"")"),1)</f>
        <v>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IFERROR(__xludf.DUMMYFUNCTION("IMPORTRANGE(""https://docs.google.com/spreadsheets/d/11923uPwbBZFjjGgGUA6NLw09EwE0CqkOc4q9oUmW1yo/edit?usp=sharing"",""พิษณุโลก!I426"")"),0)</f>
        <v>0</v>
      </c>
      <c r="J531" s="197">
        <f ca="1">IFERROR(__xludf.DUMMYFUNCTION("IMPORTRANGE(""https://docs.google.com/spreadsheets/d/11923uPwbBZFjjGgGUA6NLw09EwE0CqkOc4q9oUmW1yo/edit?usp=sharing"",""พิษณุโลก!J426"")"),0)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IFERROR(__xludf.DUMMYFUNCTION("IMPORTRANGE(""https://docs.google.com/spreadsheets/d/11923uPwbBZFjjGgGUA6NLw09EwE0CqkOc4q9oUmW1yo/edit?usp=sharing"",""พิษณุโลก!I427"")"),0)</f>
        <v>0</v>
      </c>
      <c r="J532" s="466">
        <f ca="1">IFERROR(__xludf.DUMMYFUNCTION("IMPORTRANGE(""https://docs.google.com/spreadsheets/d/11923uPwbBZFjjGgGUA6NLw09EwE0CqkOc4q9oUmW1yo/edit?usp=sharing"",""พิษณุโลก!J427"")"),0)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IFERROR(__xludf.DUMMYFUNCTION("IMPORTRANGE(""https://docs.google.com/spreadsheets/d/11923uPwbBZFjjGgGUA6NLw09EwE0CqkOc4q9oUmW1yo/edit?usp=sharing"",""พิษณุโลก!I428"")"),22)</f>
        <v>22</v>
      </c>
      <c r="J533" s="409">
        <f ca="1">IFERROR(__xludf.DUMMYFUNCTION("IMPORTRANGE(""https://docs.google.com/spreadsheets/d/11923uPwbBZFjjGgGUA6NLw09EwE0CqkOc4q9oUmW1yo/edit?usp=sharing"",""พิษณุโลก!J428"")"),22)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IFERROR(__xludf.DUMMYFUNCTION("IMPORTRANGE(""https://docs.google.com/spreadsheets/d/11923uPwbBZFjjGgGUA6NLw09EwE0CqkOc4q9oUmW1yo/edit?usp=sharing"",""พิษณุโลก!L428"")"),34340)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IFERROR(__xludf.DUMMYFUNCTION("IMPORTRANGE(""https://docs.google.com/spreadsheets/d/11923uPwbBZFjjGgGUA6NLw09EwE0CqkOc4q9oUmW1yo/edit?usp=sharing"",""พิษณุโลก!M428"")"),29380)</f>
        <v>29380</v>
      </c>
      <c r="O533" s="411">
        <f t="shared" ref="O533:O537" ca="1" si="118">+IF(L533&gt;0,N533*100/L533,0)</f>
        <v>85.556202679091442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IFERROR(__xludf.DUMMYFUNCTION("IMPORTRANGE(""https://docs.google.com/spreadsheets/d/11923uPwbBZFjjGgGUA6NLw09EwE0CqkOc4q9oUmW1yo/edit?usp=sharing"",""พิษณุโลก!L429"")"),0)</f>
        <v>0</v>
      </c>
      <c r="M534" s="164"/>
      <c r="N534" s="168">
        <f ca="1">IFERROR(__xludf.DUMMYFUNCTION("IMPORTRANGE(""https://docs.google.com/spreadsheets/d/11923uPwbBZFjjGgGUA6NLw09EwE0CqkOc4q9oUmW1yo/edit?usp=sharing"",""พิษณุโลก!M429"")"),0)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IFERROR(__xludf.DUMMYFUNCTION("IMPORTRANGE(""https://docs.google.com/spreadsheets/d/11923uPwbBZFjjGgGUA6NLw09EwE0CqkOc4q9oUmW1yo/edit?usp=sharing"",""พิษณุโลก!L430"")"),34340)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IFERROR(__xludf.DUMMYFUNCTION("IMPORTRANGE(""https://docs.google.com/spreadsheets/d/11923uPwbBZFjjGgGUA6NLw09EwE0CqkOc4q9oUmW1yo/edit?usp=sharing"",""พิษณุโลก!M430"")"),29380)</f>
        <v>29380</v>
      </c>
      <c r="O535" s="168">
        <f t="shared" ca="1" si="118"/>
        <v>85.556202679091442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IFERROR(__xludf.DUMMYFUNCTION("IMPORTRANGE(""https://docs.google.com/spreadsheets/d/11923uPwbBZFjjGgGUA6NLw09EwE0CqkOc4q9oUmW1yo/edit?usp=sharing"",""พิษณุโลก!L431"")"),0)</f>
        <v>0</v>
      </c>
      <c r="M536" s="168"/>
      <c r="N536" s="168">
        <f ca="1">IFERROR(__xludf.DUMMYFUNCTION("IMPORTRANGE(""https://docs.google.com/spreadsheets/d/11923uPwbBZFjjGgGUA6NLw09EwE0CqkOc4q9oUmW1yo/edit?usp=sharing"",""พิษณุโลก!M431"")"),0)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IFERROR(__xludf.DUMMYFUNCTION("IMPORTRANGE(""https://docs.google.com/spreadsheets/d/11923uPwbBZFjjGgGUA6NLw09EwE0CqkOc4q9oUmW1yo/edit?usp=sharing"",""พิษณุโลก!L432"")"),34340)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IFERROR(__xludf.DUMMYFUNCTION("IMPORTRANGE(""https://docs.google.com/spreadsheets/d/11923uPwbBZFjjGgGUA6NLw09EwE0CqkOc4q9oUmW1yo/edit?usp=sharing"",""พิษณุโลก!M432"")"),29380)</f>
        <v>29380</v>
      </c>
      <c r="O537" s="168">
        <f t="shared" ca="1" si="118"/>
        <v>85.556202679091442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IFERROR(__xludf.DUMMYFUNCTION("IMPORTRANGE(""https://docs.google.com/spreadsheets/d/11923uPwbBZFjjGgGUA6NLw09EwE0CqkOc4q9oUmW1yo/edit?usp=sharing"",""พิษณุโลก!M433"")"),19880)</f>
        <v>19880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IFERROR(__xludf.DUMMYFUNCTION("IMPORTRANGE(""https://docs.google.com/spreadsheets/d/11923uPwbBZFjjGgGUA6NLw09EwE0CqkOc4q9oUmW1yo/edit?usp=sharing"",""พิษณุโลก!M434"")"),0)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IFERROR(__xludf.DUMMYFUNCTION("IMPORTRANGE(""https://docs.google.com/spreadsheets/d/11923uPwbBZFjjGgGUA6NLw09EwE0CqkOc4q9oUmW1yo/edit?usp=sharing"",""พิษณุโลก!M435"")"),0)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IFERROR(__xludf.DUMMYFUNCTION("IMPORTRANGE(""https://docs.google.com/spreadsheets/d/11923uPwbBZFjjGgGUA6NLw09EwE0CqkOc4q9oUmW1yo/edit?usp=sharing"",""พิษณุโลก!M436"")"),9500)</f>
        <v>9500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IFERROR(__xludf.DUMMYFUNCTION("IMPORTRANGE(""https://docs.google.com/spreadsheets/d/11923uPwbBZFjjGgGUA6NLw09EwE0CqkOc4q9oUmW1yo/edit?usp=sharing"",""พิษณุโลก!J438"")"),0)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IFERROR(__xludf.DUMMYFUNCTION("IMPORTRANGE(""https://docs.google.com/spreadsheets/d/11923uPwbBZFjjGgGUA6NLw09EwE0CqkOc4q9oUmW1yo/edit?usp=sharing"",""พิษณุโลก!J439"")"),1)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IFERROR(__xludf.DUMMYFUNCTION("IMPORTRANGE(""https://docs.google.com/spreadsheets/d/11923uPwbBZFjjGgGUA6NLw09EwE0CqkOc4q9oUmW1yo/edit?usp=sharing"",""พิษณุโลก!J440"")"),1)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IFERROR(__xludf.DUMMYFUNCTION("IMPORTRANGE(""https://docs.google.com/spreadsheets/d/11923uPwbBZFjjGgGUA6NLw09EwE0CqkOc4q9oUmW1yo/edit?usp=sharing"",""พิษณุโลก!J441"")"),1)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IFERROR(__xludf.DUMMYFUNCTION("IMPORTRANGE(""https://docs.google.com/spreadsheets/d/11923uPwbBZFjjGgGUA6NLw09EwE0CqkOc4q9oUmW1yo/edit?usp=sharing"",""พิษณุโลก!I442"")"),22)</f>
        <v>22</v>
      </c>
      <c r="J547" s="188">
        <f ca="1">IFERROR(__xludf.DUMMYFUNCTION("IMPORTRANGE(""https://docs.google.com/spreadsheets/d/11923uPwbBZFjjGgGUA6NLw09EwE0CqkOc4q9oUmW1yo/edit?usp=sharing"",""พิษณุโลก!J442"")"),22)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IFERROR(__xludf.DUMMYFUNCTION("IMPORTRANGE(""https://docs.google.com/spreadsheets/d/11923uPwbBZFjjGgGUA6NLw09EwE0CqkOc4q9oUmW1yo/edit?usp=sharing"",""พิษณุโลก!J166"")"),0)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IFERROR(__xludf.DUMMYFUNCTION("IMPORTRANGE(""https://docs.google.com/spreadsheets/d/11923uPwbBZFjjGgGUA6NLw09EwE0CqkOc4q9oUmW1yo/edit?usp=sharing"",""พิษณุโลก!J444"")"),0)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IFERROR(__xludf.DUMMYFUNCTION("IMPORTRANGE(""https://docs.google.com/spreadsheets/d/11923uPwbBZFjjGgGUA6NLw09EwE0CqkOc4q9oUmW1yo/edit?usp=sharing"",""พิษณุโลก!J445"")"),0)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IFERROR(__xludf.DUMMYFUNCTION("IMPORTRANGE(""https://docs.google.com/spreadsheets/d/11923uPwbBZFjjGgGUA6NLw09EwE0CqkOc4q9oUmW1yo/edit?usp=sharing"",""พิษณุโลก!I446"")"),9000)</f>
        <v>9000</v>
      </c>
      <c r="J551" s="409">
        <f ca="1">IFERROR(__xludf.DUMMYFUNCTION("IMPORTRANGE(""https://docs.google.com/spreadsheets/d/11923uPwbBZFjjGgGUA6NLw09EwE0CqkOc4q9oUmW1yo/edit?usp=sharing"",""พิษณุโลก!J446"")"),9118)</f>
        <v>9118</v>
      </c>
      <c r="K551" s="410">
        <f ca="1">IF(I551&gt;0,J551*100/I551,0)</f>
        <v>101.31111111111112</v>
      </c>
      <c r="L551" s="411">
        <f ca="1">IFERROR(__xludf.DUMMYFUNCTION("IMPORTRANGE(""https://docs.google.com/spreadsheets/d/11923uPwbBZFjjGgGUA6NLw09EwE0CqkOc4q9oUmW1yo/edit?usp=sharing"",""พิษณุโลก!L446"")"),534000)</f>
        <v>534000</v>
      </c>
      <c r="M551" s="411"/>
      <c r="N551" s="411">
        <f ca="1">IFERROR(__xludf.DUMMYFUNCTION("IMPORTRANGE(""https://docs.google.com/spreadsheets/d/11923uPwbBZFjjGgGUA6NLw09EwE0CqkOc4q9oUmW1yo/edit?usp=sharing"",""พิษณุโลก!M446"")"),253607.11)</f>
        <v>253607.11</v>
      </c>
      <c r="O551" s="411">
        <f t="shared" ref="O551:O555" ca="1" si="120">+IF(L551&gt;0,N551*100/L551,0)</f>
        <v>47.49196816479401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IFERROR(__xludf.DUMMYFUNCTION("IMPORTRANGE(""https://docs.google.com/spreadsheets/d/11923uPwbBZFjjGgGUA6NLw09EwE0CqkOc4q9oUmW1yo/edit?usp=sharing"",""พิษณุโลก!L447"")"),0)</f>
        <v>0</v>
      </c>
      <c r="M552" s="164"/>
      <c r="N552" s="168">
        <f ca="1">IFERROR(__xludf.DUMMYFUNCTION("IMPORTRANGE(""https://docs.google.com/spreadsheets/d/11923uPwbBZFjjGgGUA6NLw09EwE0CqkOc4q9oUmW1yo/edit?usp=sharing"",""พิษณุโลก!M447"")"),0)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IFERROR(__xludf.DUMMYFUNCTION("IMPORTRANGE(""https://docs.google.com/spreadsheets/d/11923uPwbBZFjjGgGUA6NLw09EwE0CqkOc4q9oUmW1yo/edit?usp=sharing"",""พิษณุโลก!L448"")"),534000)</f>
        <v>534000</v>
      </c>
      <c r="M553" s="165"/>
      <c r="N553" s="168">
        <f ca="1">IFERROR(__xludf.DUMMYFUNCTION("IMPORTRANGE(""https://docs.google.com/spreadsheets/d/11923uPwbBZFjjGgGUA6NLw09EwE0CqkOc4q9oUmW1yo/edit?usp=sharing"",""พิษณุโลก!M448"")"),253607.11)</f>
        <v>253607.11</v>
      </c>
      <c r="O553" s="168">
        <f t="shared" ca="1" si="120"/>
        <v>47.49196816479401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IFERROR(__xludf.DUMMYFUNCTION("IMPORTRANGE(""https://docs.google.com/spreadsheets/d/11923uPwbBZFjjGgGUA6NLw09EwE0CqkOc4q9oUmW1yo/edit?usp=sharing"",""พิษณุโลก!L449"")"),0)</f>
        <v>0</v>
      </c>
      <c r="M554" s="168"/>
      <c r="N554" s="168">
        <f ca="1">IFERROR(__xludf.DUMMYFUNCTION("IMPORTRANGE(""https://docs.google.com/spreadsheets/d/11923uPwbBZFjjGgGUA6NLw09EwE0CqkOc4q9oUmW1yo/edit?usp=sharing"",""พิษณุโลก!M449"")"),0)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IFERROR(__xludf.DUMMYFUNCTION("IMPORTRANGE(""https://docs.google.com/spreadsheets/d/11923uPwbBZFjjGgGUA6NLw09EwE0CqkOc4q9oUmW1yo/edit?usp=sharing"",""พิษณุโลก!L450"")"),534000)</f>
        <v>534000</v>
      </c>
      <c r="M555" s="168"/>
      <c r="N555" s="168">
        <f ca="1">IFERROR(__xludf.DUMMYFUNCTION("IMPORTRANGE(""https://docs.google.com/spreadsheets/d/11923uPwbBZFjjGgGUA6NLw09EwE0CqkOc4q9oUmW1yo/edit?usp=sharing"",""พิษณุโลก!M450"")"),253607.11)</f>
        <v>253607.11</v>
      </c>
      <c r="O555" s="168">
        <f t="shared" ca="1" si="120"/>
        <v>47.49196816479401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IFERROR(__xludf.DUMMYFUNCTION("IMPORTRANGE(""https://docs.google.com/spreadsheets/d/11923uPwbBZFjjGgGUA6NLw09EwE0CqkOc4q9oUmW1yo/edit?usp=sharing"",""พิษณุโลก!M451"")"),0)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IFERROR(__xludf.DUMMYFUNCTION("IMPORTRANGE(""https://docs.google.com/spreadsheets/d/11923uPwbBZFjjGgGUA6NLw09EwE0CqkOc4q9oUmW1yo/edit?usp=sharing"",""พิษณุโลก!M452"")"),0)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IFERROR(__xludf.DUMMYFUNCTION("IMPORTRANGE(""https://docs.google.com/spreadsheets/d/11923uPwbBZFjjGgGUA6NLw09EwE0CqkOc4q9oUmW1yo/edit?usp=sharing"",""พิษณุโลก!M453"")"),186437.11)</f>
        <v>186437.11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IFERROR(__xludf.DUMMYFUNCTION("IMPORTRANGE(""https://docs.google.com/spreadsheets/d/11923uPwbBZFjjGgGUA6NLw09EwE0CqkOc4q9oUmW1yo/edit?usp=sharing"",""พิษณุโลก!M454"")"),67170)</f>
        <v>67170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IFERROR(__xludf.DUMMYFUNCTION("IMPORTRANGE(""https://docs.google.com/spreadsheets/d/11923uPwbBZFjjGgGUA6NLw09EwE0CqkOc4q9oUmW1yo/edit?usp=sharing"",""พิษณุโลก!I455"")"),9000)</f>
        <v>9000</v>
      </c>
      <c r="J560" s="162">
        <f ca="1">IFERROR(__xludf.DUMMYFUNCTION("IMPORTRANGE(""https://docs.google.com/spreadsheets/d/11923uPwbBZFjjGgGUA6NLw09EwE0CqkOc4q9oUmW1yo/edit?usp=sharing"",""พิษณุโลก!J455"")"),9118)</f>
        <v>9118</v>
      </c>
      <c r="K560" s="224">
        <f t="shared" ref="K560:K561" ca="1" si="121">IF(I560&gt;0,J560*100/I560,0)</f>
        <v>101.31111111111112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IFERROR(__xludf.DUMMYFUNCTION("IMPORTRANGE(""https://docs.google.com/spreadsheets/d/11923uPwbBZFjjGgGUA6NLw09EwE0CqkOc4q9oUmW1yo/edit?usp=sharing"",""พิษณุโลก!I456"")"),0)</f>
        <v>0</v>
      </c>
      <c r="J561" s="203">
        <f ca="1">IFERROR(__xludf.DUMMYFUNCTION("IMPORTRANGE(""https://docs.google.com/spreadsheets/d/11923uPwbBZFjjGgGUA6NLw09EwE0CqkOc4q9oUmW1yo/edit?usp=sharing"",""พิษณุโลก!J456"")"),676)</f>
        <v>676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IFERROR(__xludf.DUMMYFUNCTION("IMPORTRANGE(""https://docs.google.com/spreadsheets/d/11923uPwbBZFjjGgGUA6NLw09EwE0CqkOc4q9oUmW1yo/edit?usp=sharing"",""พิษณุโลก!I459"")"),1500)</f>
        <v>1500</v>
      </c>
      <c r="J564" s="370">
        <f ca="1">IFERROR(__xludf.DUMMYFUNCTION("IMPORTRANGE(""https://docs.google.com/spreadsheets/d/11923uPwbBZFjjGgGUA6NLw09EwE0CqkOc4q9oUmW1yo/edit?usp=sharing"",""พิษณุโลก!J459"")"),2989)</f>
        <v>2989</v>
      </c>
      <c r="K564" s="371">
        <f ca="1">IF(I564&gt;0,J564*100/I564,0)</f>
        <v>199.26666666666668</v>
      </c>
      <c r="L564" s="372">
        <f ca="1">IFERROR(__xludf.DUMMYFUNCTION("IMPORTRANGE(""https://docs.google.com/spreadsheets/d/11923uPwbBZFjjGgGUA6NLw09EwE0CqkOc4q9oUmW1yo/edit?usp=sharing"",""พิษณุโลก!L459"")"),144240)</f>
        <v>144240</v>
      </c>
      <c r="M564" s="372"/>
      <c r="N564" s="372">
        <f ca="1">IFERROR(__xludf.DUMMYFUNCTION("IMPORTRANGE(""https://docs.google.com/spreadsheets/d/11923uPwbBZFjjGgGUA6NLw09EwE0CqkOc4q9oUmW1yo/edit?usp=sharing"",""พิษณุโลก!M459"")"),60894.93)</f>
        <v>60894.93</v>
      </c>
      <c r="O564" s="372">
        <f t="shared" ref="O564:O568" ca="1" si="122">+IF(L564&gt;0,N564*100/L564,0)</f>
        <v>42.217782861896836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IFERROR(__xludf.DUMMYFUNCTION("IMPORTRANGE(""https://docs.google.com/spreadsheets/d/11923uPwbBZFjjGgGUA6NLw09EwE0CqkOc4q9oUmW1yo/edit?usp=sharing"",""พิษณุโลก!L460"")"),0)</f>
        <v>0</v>
      </c>
      <c r="M565" s="164"/>
      <c r="N565" s="168">
        <f ca="1">IFERROR(__xludf.DUMMYFUNCTION("IMPORTRANGE(""https://docs.google.com/spreadsheets/d/11923uPwbBZFjjGgGUA6NLw09EwE0CqkOc4q9oUmW1yo/edit?usp=sharing"",""พิษณุโลก!M460"")"),0)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IFERROR(__xludf.DUMMYFUNCTION("IMPORTRANGE(""https://docs.google.com/spreadsheets/d/11923uPwbBZFjjGgGUA6NLw09EwE0CqkOc4q9oUmW1yo/edit?usp=sharing"",""พิษณุโลก!L461"")"),144240)</f>
        <v>144240</v>
      </c>
      <c r="M566" s="165"/>
      <c r="N566" s="168">
        <f ca="1">IFERROR(__xludf.DUMMYFUNCTION("IMPORTRANGE(""https://docs.google.com/spreadsheets/d/11923uPwbBZFjjGgGUA6NLw09EwE0CqkOc4q9oUmW1yo/edit?usp=sharing"",""พิษณุโลก!M461"")"),60894.93)</f>
        <v>60894.93</v>
      </c>
      <c r="O566" s="168">
        <f t="shared" ca="1" si="122"/>
        <v>42.217782861896836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IFERROR(__xludf.DUMMYFUNCTION("IMPORTRANGE(""https://docs.google.com/spreadsheets/d/11923uPwbBZFjjGgGUA6NLw09EwE0CqkOc4q9oUmW1yo/edit?usp=sharing"",""พิษณุโลก!L462"")"),0)</f>
        <v>0</v>
      </c>
      <c r="M567" s="168"/>
      <c r="N567" s="168">
        <f ca="1">IFERROR(__xludf.DUMMYFUNCTION("IMPORTRANGE(""https://docs.google.com/spreadsheets/d/11923uPwbBZFjjGgGUA6NLw09EwE0CqkOc4q9oUmW1yo/edit?usp=sharing"",""พิษณุโลก!M462"")"),0)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IFERROR(__xludf.DUMMYFUNCTION("IMPORTRANGE(""https://docs.google.com/spreadsheets/d/11923uPwbBZFjjGgGUA6NLw09EwE0CqkOc4q9oUmW1yo/edit?usp=sharing"",""พิษณุโลก!L463"")"),144240)</f>
        <v>144240</v>
      </c>
      <c r="M568" s="168"/>
      <c r="N568" s="168">
        <f ca="1">IFERROR(__xludf.DUMMYFUNCTION("IMPORTRANGE(""https://docs.google.com/spreadsheets/d/11923uPwbBZFjjGgGUA6NLw09EwE0CqkOc4q9oUmW1yo/edit?usp=sharing"",""พิษณุโลก!M463"")"),60894.93)</f>
        <v>60894.93</v>
      </c>
      <c r="O568" s="168">
        <f t="shared" ca="1" si="122"/>
        <v>42.217782861896836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IFERROR(__xludf.DUMMYFUNCTION("IMPORTRANGE(""https://docs.google.com/spreadsheets/d/11923uPwbBZFjjGgGUA6NLw09EwE0CqkOc4q9oUmW1yo/edit?usp=sharing"",""พิษณุโลก!M464"")"),0)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IFERROR(__xludf.DUMMYFUNCTION("IMPORTRANGE(""https://docs.google.com/spreadsheets/d/11923uPwbBZFjjGgGUA6NLw09EwE0CqkOc4q9oUmW1yo/edit?usp=sharing"",""พิษณุโลก!M465"")"),0)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IFERROR(__xludf.DUMMYFUNCTION("IMPORTRANGE(""https://docs.google.com/spreadsheets/d/11923uPwbBZFjjGgGUA6NLw09EwE0CqkOc4q9oUmW1yo/edit?usp=sharing"",""พิษณุโลก!M466"")"),59394.93)</f>
        <v>59394.93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IFERROR(__xludf.DUMMYFUNCTION("IMPORTRANGE(""https://docs.google.com/spreadsheets/d/11923uPwbBZFjjGgGUA6NLw09EwE0CqkOc4q9oUmW1yo/edit?usp=sharing"",""พิษณุโลก!M467"")"),1500)</f>
        <v>1500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IFERROR(__xludf.DUMMYFUNCTION("IMPORTRANGE(""https://docs.google.com/spreadsheets/d/11923uPwbBZFjjGgGUA6NLw09EwE0CqkOc4q9oUmW1yo/edit?usp=sharing"",""พิษณุโลก!I468"")"),1500)</f>
        <v>1500</v>
      </c>
      <c r="J573" s="420">
        <f ca="1">IFERROR(__xludf.DUMMYFUNCTION("IMPORTRANGE(""https://docs.google.com/spreadsheets/d/11923uPwbBZFjjGgGUA6NLw09EwE0CqkOc4q9oUmW1yo/edit?usp=sharing"",""พิษณุโลก!J468"")"),2989)</f>
        <v>2989</v>
      </c>
      <c r="K573" s="201">
        <f ca="1">IF(I573&gt;0,J573*100/I573,0)</f>
        <v>199.26666666666668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IFERROR(__xludf.DUMMYFUNCTION("IMPORTRANGE(""https://docs.google.com/spreadsheets/d/11923uPwbBZFjjGgGUA6NLw09EwE0CqkOc4q9oUmW1yo/edit?usp=sharing"",""พิษณุโลก!I470"")"),0)</f>
        <v>0</v>
      </c>
      <c r="J575" s="197">
        <f ca="1">IFERROR(__xludf.DUMMYFUNCTION("IMPORTRANGE(""https://docs.google.com/spreadsheets/d/11923uPwbBZFjjGgGUA6NLw09EwE0CqkOc4q9oUmW1yo/edit?usp=sharing"",""พิษณุโลก!J470"")"),6)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IFERROR(__xludf.DUMMYFUNCTION("IMPORTRANGE(""https://docs.google.com/spreadsheets/d/11923uPwbBZFjjGgGUA6NLw09EwE0CqkOc4q9oUmW1yo/edit?usp=sharing"",""พิษณุโลก!I471"")"),0)</f>
        <v>0</v>
      </c>
      <c r="J576" s="197">
        <f ca="1">IFERROR(__xludf.DUMMYFUNCTION("IMPORTRANGE(""https://docs.google.com/spreadsheets/d/11923uPwbBZFjjGgGUA6NLw09EwE0CqkOc4q9oUmW1yo/edit?usp=sharing"",""พิษณุโลก!J471"")"),338)</f>
        <v>338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IFERROR(__xludf.DUMMYFUNCTION("IMPORTRANGE(""https://docs.google.com/spreadsheets/d/11923uPwbBZFjjGgGUA6NLw09EwE0CqkOc4q9oUmW1yo/edit?usp=sharing"",""พิษณุโลก!I472"")"),0)</f>
        <v>0</v>
      </c>
      <c r="J577" s="188">
        <f ca="1">IFERROR(__xludf.DUMMYFUNCTION("IMPORTRANGE(""https://docs.google.com/spreadsheets/d/11923uPwbBZFjjGgGUA6NLw09EwE0CqkOc4q9oUmW1yo/edit?usp=sharing"",""พิษณุโลก!J472"")"),2637)</f>
        <v>2637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IFERROR(__xludf.DUMMYFUNCTION("IMPORTRANGE(""https://docs.google.com/spreadsheets/d/11923uPwbBZFjjGgGUA6NLw09EwE0CqkOc4q9oUmW1yo/edit?usp=sharing"",""พิษณุโลก!I473"")"),0)</f>
        <v>0</v>
      </c>
      <c r="J578" s="197">
        <f ca="1">IFERROR(__xludf.DUMMYFUNCTION("IMPORTRANGE(""https://docs.google.com/spreadsheets/d/11923uPwbBZFjjGgGUA6NLw09EwE0CqkOc4q9oUmW1yo/edit?usp=sharing"",""พิษณุโลก!J473"")"),14)</f>
        <v>14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IFERROR(__xludf.DUMMYFUNCTION("IMPORTRANGE(""https://docs.google.com/spreadsheets/d/11923uPwbBZFjjGgGUA6NLw09EwE0CqkOc4q9oUmW1yo/edit?usp=sharing"",""พิษณุโลก!I474"")"),0)</f>
        <v>0</v>
      </c>
      <c r="J579" s="197">
        <f ca="1">IFERROR(__xludf.DUMMYFUNCTION("IMPORTRANGE(""https://docs.google.com/spreadsheets/d/11923uPwbBZFjjGgGUA6NLw09EwE0CqkOc4q9oUmW1yo/edit?usp=sharing"",""พิษณุโลก!J474"")"),0)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IFERROR(__xludf.DUMMYFUNCTION("IMPORTRANGE(""https://docs.google.com/spreadsheets/d/11923uPwbBZFjjGgGUA6NLw09EwE0CqkOc4q9oUmW1yo/edit?usp=sharing"",""พิษณุโลก!I475"")"),24)</f>
        <v>24</v>
      </c>
      <c r="J580" s="370">
        <f ca="1">IFERROR(__xludf.DUMMYFUNCTION("IMPORTRANGE(""https://docs.google.com/spreadsheets/d/11923uPwbBZFjjGgGUA6NLw09EwE0CqkOc4q9oUmW1yo/edit?usp=sharing"",""พิษณุโลก!J475"")"),3)</f>
        <v>3</v>
      </c>
      <c r="K580" s="371">
        <f ca="1">IF(I580&gt;0,J580*100/I580,0)</f>
        <v>12.5</v>
      </c>
      <c r="L580" s="372">
        <f ca="1">IFERROR(__xludf.DUMMYFUNCTION("IMPORTRANGE(""https://docs.google.com/spreadsheets/d/11923uPwbBZFjjGgGUA6NLw09EwE0CqkOc4q9oUmW1yo/edit?usp=sharing"",""พิษณุโลก!L475"")"),127824)</f>
        <v>127824</v>
      </c>
      <c r="M580" s="372"/>
      <c r="N580" s="372">
        <f ca="1">IFERROR(__xludf.DUMMYFUNCTION("IMPORTRANGE(""https://docs.google.com/spreadsheets/d/11923uPwbBZFjjGgGUA6NLw09EwE0CqkOc4q9oUmW1yo/edit?usp=sharing"",""พิษณุโลก!M475"")"),1460)</f>
        <v>1460</v>
      </c>
      <c r="O580" s="372">
        <f t="shared" ref="O580:O584" ca="1" si="124">+IF(L580&gt;0,N580*100/L580,0)</f>
        <v>1.1421955188384028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IFERROR(__xludf.DUMMYFUNCTION("IMPORTRANGE(""https://docs.google.com/spreadsheets/d/11923uPwbBZFjjGgGUA6NLw09EwE0CqkOc4q9oUmW1yo/edit?usp=sharing"",""พิษณุโลก!L476"")"),0)</f>
        <v>0</v>
      </c>
      <c r="M581" s="164"/>
      <c r="N581" s="168">
        <f ca="1">IFERROR(__xludf.DUMMYFUNCTION("IMPORTRANGE(""https://docs.google.com/spreadsheets/d/11923uPwbBZFjjGgGUA6NLw09EwE0CqkOc4q9oUmW1yo/edit?usp=sharing"",""พิษณุโลก!M476"")"),0)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IFERROR(__xludf.DUMMYFUNCTION("IMPORTRANGE(""https://docs.google.com/spreadsheets/d/11923uPwbBZFjjGgGUA6NLw09EwE0CqkOc4q9oUmW1yo/edit?usp=sharing"",""พิษณุโลก!L477"")"),127824)</f>
        <v>127824</v>
      </c>
      <c r="M582" s="165"/>
      <c r="N582" s="168">
        <f ca="1">IFERROR(__xludf.DUMMYFUNCTION("IMPORTRANGE(""https://docs.google.com/spreadsheets/d/11923uPwbBZFjjGgGUA6NLw09EwE0CqkOc4q9oUmW1yo/edit?usp=sharing"",""พิษณุโลก!M477"")"),1460)</f>
        <v>1460</v>
      </c>
      <c r="O582" s="168">
        <f t="shared" ca="1" si="124"/>
        <v>1.1421955188384028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IFERROR(__xludf.DUMMYFUNCTION("IMPORTRANGE(""https://docs.google.com/spreadsheets/d/11923uPwbBZFjjGgGUA6NLw09EwE0CqkOc4q9oUmW1yo/edit?usp=sharing"",""พิษณุโลก!L478"")"),0)</f>
        <v>0</v>
      </c>
      <c r="M583" s="168"/>
      <c r="N583" s="168">
        <f ca="1">IFERROR(__xludf.DUMMYFUNCTION("IMPORTRANGE(""https://docs.google.com/spreadsheets/d/11923uPwbBZFjjGgGUA6NLw09EwE0CqkOc4q9oUmW1yo/edit?usp=sharing"",""พิษณุโลก!M478"")"),0)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IFERROR(__xludf.DUMMYFUNCTION("IMPORTRANGE(""https://docs.google.com/spreadsheets/d/11923uPwbBZFjjGgGUA6NLw09EwE0CqkOc4q9oUmW1yo/edit?usp=sharing"",""พิษณุโลก!L479"")"),127824)</f>
        <v>127824</v>
      </c>
      <c r="M584" s="168"/>
      <c r="N584" s="168">
        <f ca="1">IFERROR(__xludf.DUMMYFUNCTION("IMPORTRANGE(""https://docs.google.com/spreadsheets/d/11923uPwbBZFjjGgGUA6NLw09EwE0CqkOc4q9oUmW1yo/edit?usp=sharing"",""พิษณุโลก!M479"")"),1460)</f>
        <v>1460</v>
      </c>
      <c r="O584" s="168">
        <f t="shared" ca="1" si="124"/>
        <v>1.1421955188384028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IFERROR(__xludf.DUMMYFUNCTION("IMPORTRANGE(""https://docs.google.com/spreadsheets/d/11923uPwbBZFjjGgGUA6NLw09EwE0CqkOc4q9oUmW1yo/edit?usp=sharing"",""พิษณุโลก!M480"")"),0)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IFERROR(__xludf.DUMMYFUNCTION("IMPORTRANGE(""https://docs.google.com/spreadsheets/d/11923uPwbBZFjjGgGUA6NLw09EwE0CqkOc4q9oUmW1yo/edit?usp=sharing"",""พิษณุโลก!M481"")"),0)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IFERROR(__xludf.DUMMYFUNCTION("IMPORTRANGE(""https://docs.google.com/spreadsheets/d/11923uPwbBZFjjGgGUA6NLw09EwE0CqkOc4q9oUmW1yo/edit?usp=sharing"",""พิษณุโลก!M482"")"),0)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IFERROR(__xludf.DUMMYFUNCTION("IMPORTRANGE(""https://docs.google.com/spreadsheets/d/11923uPwbBZFjjGgGUA6NLw09EwE0CqkOc4q9oUmW1yo/edit?usp=sharing"",""พิษณุโลก!M483"")"),1460)</f>
        <v>1460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IFERROR(__xludf.DUMMYFUNCTION("IMPORTRANGE(""https://docs.google.com/spreadsheets/d/11923uPwbBZFjjGgGUA6NLw09EwE0CqkOc4q9oUmW1yo/edit?usp=sharing"",""พิษณุโลก!I484"")"),24)</f>
        <v>24</v>
      </c>
      <c r="J589" s="187">
        <f ca="1">IFERROR(__xludf.DUMMYFUNCTION("IMPORTRANGE(""https://docs.google.com/spreadsheets/d/11923uPwbBZFjjGgGUA6NLw09EwE0CqkOc4q9oUmW1yo/edit?usp=sharing"",""พิษณุโลก!J484"")"),6)</f>
        <v>6</v>
      </c>
      <c r="K589" s="163">
        <f t="shared" ref="K589:K596" ca="1" si="125">IF(I589&gt;0,J589*100/I589,0)</f>
        <v>25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IFERROR(__xludf.DUMMYFUNCTION("IMPORTRANGE(""https://docs.google.com/spreadsheets/d/11923uPwbBZFjjGgGUA6NLw09EwE0CqkOc4q9oUmW1yo/edit?usp=sharing"",""พิษณุโลก!I485"")"),0)</f>
        <v>0</v>
      </c>
      <c r="J590" s="187">
        <f ca="1">IFERROR(__xludf.DUMMYFUNCTION("IMPORTRANGE(""https://docs.google.com/spreadsheets/d/11923uPwbBZFjjGgGUA6NLw09EwE0CqkOc4q9oUmW1yo/edit?usp=sharing"",""พิษณุโลก!J485"")"),28.86)</f>
        <v>28.86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IFERROR(__xludf.DUMMYFUNCTION("IMPORTRANGE(""https://docs.google.com/spreadsheets/d/11923uPwbBZFjjGgGUA6NLw09EwE0CqkOc4q9oUmW1yo/edit?usp=sharing"",""พิษณุโลก!I486"")"),24)</f>
        <v>24</v>
      </c>
      <c r="J591" s="187">
        <f ca="1">IFERROR(__xludf.DUMMYFUNCTION("IMPORTRANGE(""https://docs.google.com/spreadsheets/d/11923uPwbBZFjjGgGUA6NLw09EwE0CqkOc4q9oUmW1yo/edit?usp=sharing"",""พิษณุโลก!J486"")"),3)</f>
        <v>3</v>
      </c>
      <c r="K591" s="163">
        <f t="shared" ca="1" si="125"/>
        <v>12.5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IFERROR(__xludf.DUMMYFUNCTION("IMPORTRANGE(""https://docs.google.com/spreadsheets/d/11923uPwbBZFjjGgGUA6NLw09EwE0CqkOc4q9oUmW1yo/edit?usp=sharing"",""พิษณุโลก!I487"")"),0)</f>
        <v>0</v>
      </c>
      <c r="J592" s="187">
        <f ca="1">IFERROR(__xludf.DUMMYFUNCTION("IMPORTRANGE(""https://docs.google.com/spreadsheets/d/11923uPwbBZFjjGgGUA6NLw09EwE0CqkOc4q9oUmW1yo/edit?usp=sharing"",""พิษณุโลก!J487"")"),4.76)</f>
        <v>4.76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IFERROR(__xludf.DUMMYFUNCTION("IMPORTRANGE(""https://docs.google.com/spreadsheets/d/11923uPwbBZFjjGgGUA6NLw09EwE0CqkOc4q9oUmW1yo/edit?usp=sharing"",""พิษณุโลก!I488"")"),24)</f>
        <v>24</v>
      </c>
      <c r="J593" s="187">
        <f ca="1">IFERROR(__xludf.DUMMYFUNCTION("IMPORTRANGE(""https://docs.google.com/spreadsheets/d/11923uPwbBZFjjGgGUA6NLw09EwE0CqkOc4q9oUmW1yo/edit?usp=sharing"",""พิษณุโลก!J488"")"),0)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IFERROR(__xludf.DUMMYFUNCTION("IMPORTRANGE(""https://docs.google.com/spreadsheets/d/11923uPwbBZFjjGgGUA6NLw09EwE0CqkOc4q9oUmW1yo/edit?usp=sharing"",""พิษณุโลก!I489"")"),0)</f>
        <v>0</v>
      </c>
      <c r="J594" s="187">
        <f ca="1">IFERROR(__xludf.DUMMYFUNCTION("IMPORTRANGE(""https://docs.google.com/spreadsheets/d/11923uPwbBZFjjGgGUA6NLw09EwE0CqkOc4q9oUmW1yo/edit?usp=sharing"",""พิษณุโลก!J489"")"),0)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IFERROR(__xludf.DUMMYFUNCTION("IMPORTRANGE(""https://docs.google.com/spreadsheets/d/11923uPwbBZFjjGgGUA6NLw09EwE0CqkOc4q9oUmW1yo/edit?usp=sharing"",""พิษณุโลก!I490"")"),24)</f>
        <v>24</v>
      </c>
      <c r="J595" s="187">
        <f ca="1">IFERROR(__xludf.DUMMYFUNCTION("IMPORTRANGE(""https://docs.google.com/spreadsheets/d/11923uPwbBZFjjGgGUA6NLw09EwE0CqkOc4q9oUmW1yo/edit?usp=sharing"",""พิษณุโลก!J490"")"),3)</f>
        <v>3</v>
      </c>
      <c r="K595" s="163">
        <f t="shared" ca="1" si="125"/>
        <v>12.5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IFERROR(__xludf.DUMMYFUNCTION("IMPORTRANGE(""https://docs.google.com/spreadsheets/d/11923uPwbBZFjjGgGUA6NLw09EwE0CqkOc4q9oUmW1yo/edit?usp=sharing"",""พิษณุโลก!I491"")"),0)</f>
        <v>0</v>
      </c>
      <c r="J596" s="241">
        <f ca="1">IFERROR(__xludf.DUMMYFUNCTION("IMPORTRANGE(""https://docs.google.com/spreadsheets/d/11923uPwbBZFjjGgGUA6NLw09EwE0CqkOc4q9oUmW1yo/edit?usp=sharing"",""พิษณุโลก!J491"")"),4.76)</f>
        <v>4.76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IFERROR(__xludf.DUMMYFUNCTION("IMPORTRANGE(""https://docs.google.com/spreadsheets/d/11923uPwbBZFjjGgGUA6NLw09EwE0CqkOc4q9oUmW1yo/edit?usp=sharing"",""พิษณุโลก!I492"")"),50)</f>
        <v>50</v>
      </c>
      <c r="J597" s="488">
        <f ca="1">IFERROR(__xludf.DUMMYFUNCTION("IMPORTRANGE(""https://docs.google.com/spreadsheets/d/11923uPwbBZFjjGgGUA6NLw09EwE0CqkOc4q9oUmW1yo/edit?usp=sharing"",""พิษณุโลก!J492"")"),0)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IFERROR(__xludf.DUMMYFUNCTION("IMPORTRANGE(""https://docs.google.com/spreadsheets/d/11923uPwbBZFjjGgGUA6NLw09EwE0CqkOc4q9oUmW1yo/edit?usp=sharing"",""พิษณุโลก!L492"")"),4550)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IFERROR(__xludf.DUMMYFUNCTION("IMPORTRANGE(""https://docs.google.com/spreadsheets/d/11923uPwbBZFjjGgGUA6NLw09EwE0CqkOc4q9oUmW1yo/edit?usp=sharing"",""พิษณุโลก!M492"")"),400)</f>
        <v>400</v>
      </c>
      <c r="O597" s="411">
        <f t="shared" ref="O597:O601" ca="1" si="126">+IF(L597&gt;0,N597*100/L597,0)</f>
        <v>8.791208791208792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IFERROR(__xludf.DUMMYFUNCTION("IMPORTRANGE(""https://docs.google.com/spreadsheets/d/11923uPwbBZFjjGgGUA6NLw09EwE0CqkOc4q9oUmW1yo/edit?usp=sharing"",""พิษณุโลก!L493"")"),0)</f>
        <v>0</v>
      </c>
      <c r="M598" s="164"/>
      <c r="N598" s="168">
        <f ca="1">IFERROR(__xludf.DUMMYFUNCTION("IMPORTRANGE(""https://docs.google.com/spreadsheets/d/11923uPwbBZFjjGgGUA6NLw09EwE0CqkOc4q9oUmW1yo/edit?usp=sharing"",""พิษณุโลก!M493"")"),0)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IFERROR(__xludf.DUMMYFUNCTION("IMPORTRANGE(""https://docs.google.com/spreadsheets/d/11923uPwbBZFjjGgGUA6NLw09EwE0CqkOc4q9oUmW1yo/edit?usp=sharing"",""พิษณุโลก!L494"")"),4550)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IFERROR(__xludf.DUMMYFUNCTION("IMPORTRANGE(""https://docs.google.com/spreadsheets/d/11923uPwbBZFjjGgGUA6NLw09EwE0CqkOc4q9oUmW1yo/edit?usp=sharing"",""พิษณุโลก!M494"")"),400)</f>
        <v>400</v>
      </c>
      <c r="O599" s="168">
        <f t="shared" ca="1" si="126"/>
        <v>8.791208791208792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IFERROR(__xludf.DUMMYFUNCTION("IMPORTRANGE(""https://docs.google.com/spreadsheets/d/11923uPwbBZFjjGgGUA6NLw09EwE0CqkOc4q9oUmW1yo/edit?usp=sharing"",""พิษณุโลก!L495"")"),0)</f>
        <v>0</v>
      </c>
      <c r="M600" s="168"/>
      <c r="N600" s="168">
        <f ca="1">IFERROR(__xludf.DUMMYFUNCTION("IMPORTRANGE(""https://docs.google.com/spreadsheets/d/11923uPwbBZFjjGgGUA6NLw09EwE0CqkOc4q9oUmW1yo/edit?usp=sharing"",""พิษณุโลก!M495"")"),0)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IFERROR(__xludf.DUMMYFUNCTION("IMPORTRANGE(""https://docs.google.com/spreadsheets/d/11923uPwbBZFjjGgGUA6NLw09EwE0CqkOc4q9oUmW1yo/edit?usp=sharing"",""พิษณุโลก!L496"")"),4550)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IFERROR(__xludf.DUMMYFUNCTION("IMPORTRANGE(""https://docs.google.com/spreadsheets/d/11923uPwbBZFjjGgGUA6NLw09EwE0CqkOc4q9oUmW1yo/edit?usp=sharing"",""พิษณุโลก!M496"")"),400)</f>
        <v>400</v>
      </c>
      <c r="O601" s="168">
        <f t="shared" ca="1" si="126"/>
        <v>8.791208791208792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IFERROR(__xludf.DUMMYFUNCTION("IMPORTRANGE(""https://docs.google.com/spreadsheets/d/11923uPwbBZFjjGgGUA6NLw09EwE0CqkOc4q9oUmW1yo/edit?usp=sharing"",""พิษณุโลก!M497"")"),0)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IFERROR(__xludf.DUMMYFUNCTION("IMPORTRANGE(""https://docs.google.com/spreadsheets/d/11923uPwbBZFjjGgGUA6NLw09EwE0CqkOc4q9oUmW1yo/edit?usp=sharing"",""พิษณุโลก!M498"")"),0)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IFERROR(__xludf.DUMMYFUNCTION("IMPORTRANGE(""https://docs.google.com/spreadsheets/d/11923uPwbBZFjjGgGUA6NLw09EwE0CqkOc4q9oUmW1yo/edit?usp=sharing"",""พิษณุโลก!M499"")"),0)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IFERROR(__xludf.DUMMYFUNCTION("IMPORTRANGE(""https://docs.google.com/spreadsheets/d/11923uPwbBZFjjGgGUA6NLw09EwE0CqkOc4q9oUmW1yo/edit?usp=sharing"",""พิษณุโลก!M500"")"),400)</f>
        <v>400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IFERROR(__xludf.DUMMYFUNCTION("IMPORTRANGE(""https://docs.google.com/spreadsheets/d/11923uPwbBZFjjGgGUA6NLw09EwE0CqkOc4q9oUmW1yo/edit?usp=sharing"",""พิษณุโลก!J502"")"),0)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IFERROR(__xludf.DUMMYFUNCTION("IMPORTRANGE(""https://docs.google.com/spreadsheets/d/11923uPwbBZFjjGgGUA6NLw09EwE0CqkOc4q9oUmW1yo/edit?usp=sharing"",""พิษณุโลก!J503"")"),1)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IFERROR(__xludf.DUMMYFUNCTION("IMPORTRANGE(""https://docs.google.com/spreadsheets/d/11923uPwbBZFjjGgGUA6NLw09EwE0CqkOc4q9oUmW1yo/edit?usp=sharing"",""พิษณุโลก!J166"")"),0)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IFERROR(__xludf.DUMMYFUNCTION("IMPORTRANGE(""https://docs.google.com/spreadsheets/d/11923uPwbBZFjjGgGUA6NLw09EwE0CqkOc4q9oUmW1yo/edit?usp=sharing"",""พิษณุโลก!J166"")"),0)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IFERROR(__xludf.DUMMYFUNCTION("IMPORTRANGE(""https://docs.google.com/spreadsheets/d/11923uPwbBZFjjGgGUA6NLw09EwE0CqkOc4q9oUmW1yo/edit?usp=sharing"",""พิษณุโลก!I506"")"),50)</f>
        <v>50</v>
      </c>
      <c r="J611" s="162">
        <f ca="1">IFERROR(__xludf.DUMMYFUNCTION("IMPORTRANGE(""https://docs.google.com/spreadsheets/d/11923uPwbBZFjjGgGUA6NLw09EwE0CqkOc4q9oUmW1yo/edit?usp=sharing"",""พิษณุโลก!J506"")"),0)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IFERROR(__xludf.DUMMYFUNCTION("IMPORTRANGE(""https://docs.google.com/spreadsheets/d/11923uPwbBZFjjGgGUA6NLw09EwE0CqkOc4q9oUmW1yo/edit?usp=sharing"",""พิษณุโลก!I507"")"),0)</f>
        <v>0</v>
      </c>
      <c r="J612" s="197">
        <f ca="1">IFERROR(__xludf.DUMMYFUNCTION("IMPORTRANGE(""https://docs.google.com/spreadsheets/d/11923uPwbBZFjjGgGUA6NLw09EwE0CqkOc4q9oUmW1yo/edit?usp=sharing"",""พิษณุโลก!J507"")"),41)</f>
        <v>41</v>
      </c>
      <c r="K612" s="163">
        <f t="shared" ca="1" si="127"/>
        <v>82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IFERROR(__xludf.DUMMYFUNCTION("IMPORTRANGE(""https://docs.google.com/spreadsheets/d/11923uPwbBZFjjGgGUA6NLw09EwE0CqkOc4q9oUmW1yo/edit?usp=sharing"",""พิษณุโลก!I508"")"),0)</f>
        <v>0</v>
      </c>
      <c r="J613" s="197">
        <f ca="1">IFERROR(__xludf.DUMMYFUNCTION("IMPORTRANGE(""https://docs.google.com/spreadsheets/d/11923uPwbBZFjjGgGUA6NLw09EwE0CqkOc4q9oUmW1yo/edit?usp=sharing"",""พิษณุโลก!J508"")"),41)</f>
        <v>41</v>
      </c>
      <c r="K613" s="163">
        <f t="shared" ca="1" si="127"/>
        <v>82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IFERROR(__xludf.DUMMYFUNCTION("IMPORTRANGE(""https://docs.google.com/spreadsheets/d/11923uPwbBZFjjGgGUA6NLw09EwE0CqkOc4q9oUmW1yo/edit?usp=sharing"",""พิษณุโลก!I509"")"),0)</f>
        <v>0</v>
      </c>
      <c r="J614" s="197">
        <f ca="1">IFERROR(__xludf.DUMMYFUNCTION("IMPORTRANGE(""https://docs.google.com/spreadsheets/d/11923uPwbBZFjjGgGUA6NLw09EwE0CqkOc4q9oUmW1yo/edit?usp=sharing"",""พิษณุโลก!J509"")"),41)</f>
        <v>41</v>
      </c>
      <c r="K614" s="163">
        <f t="shared" ca="1" si="127"/>
        <v>82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IFERROR(__xludf.DUMMYFUNCTION("IMPORTRANGE(""https://docs.google.com/spreadsheets/d/11923uPwbBZFjjGgGUA6NLw09EwE0CqkOc4q9oUmW1yo/edit?usp=sharing"",""พิษณุโลก!I510"")"),0)</f>
        <v>0</v>
      </c>
      <c r="J615" s="197">
        <f ca="1">IFERROR(__xludf.DUMMYFUNCTION("IMPORTRANGE(""https://docs.google.com/spreadsheets/d/11923uPwbBZFjjGgGUA6NLw09EwE0CqkOc4q9oUmW1yo/edit?usp=sharing"",""พิษณุโลก!J510"")"),41)</f>
        <v>41</v>
      </c>
      <c r="K615" s="163">
        <f t="shared" ca="1" si="127"/>
        <v>82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IFERROR(__xludf.DUMMYFUNCTION("IMPORTRANGE(""https://docs.google.com/spreadsheets/d/11923uPwbBZFjjGgGUA6NLw09EwE0CqkOc4q9oUmW1yo/edit?usp=sharing"",""พิษณุโลก!I511"")"),0)</f>
        <v>0</v>
      </c>
      <c r="J616" s="197">
        <f ca="1">IFERROR(__xludf.DUMMYFUNCTION("IMPORTRANGE(""https://docs.google.com/spreadsheets/d/11923uPwbBZFjjGgGUA6NLw09EwE0CqkOc4q9oUmW1yo/edit?usp=sharing"",""พิษณุโลก!J511"")"),0)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IFERROR(__xludf.DUMMYFUNCTION("IMPORTRANGE(""https://docs.google.com/spreadsheets/d/11923uPwbBZFjjGgGUA6NLw09EwE0CqkOc4q9oUmW1yo/edit?usp=sharing"",""พิษณุโลก!I512"")"),0)</f>
        <v>0</v>
      </c>
      <c r="J617" s="187">
        <f ca="1">IFERROR(__xludf.DUMMYFUNCTION("IMPORTRANGE(""https://docs.google.com/spreadsheets/d/11923uPwbBZFjjGgGUA6NLw09EwE0CqkOc4q9oUmW1yo/edit?usp=sharing"",""พิษณุโลก!J512"")"),0)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IFERROR(__xludf.DUMMYFUNCTION("IMPORTRANGE(""https://docs.google.com/spreadsheets/d/11923uPwbBZFjjGgGUA6NLw09EwE0CqkOc4q9oUmW1yo/edit?usp=sharing"",""พิษณุโลก!I513"")"),0)</f>
        <v>0</v>
      </c>
      <c r="J618" s="188">
        <f ca="1">IFERROR(__xludf.DUMMYFUNCTION("IMPORTRANGE(""https://docs.google.com/spreadsheets/d/11923uPwbBZFjjGgGUA6NLw09EwE0CqkOc4q9oUmW1yo/edit?usp=sharing"",""พิษณุโลก!J513"")"),0)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IFERROR(__xludf.DUMMYFUNCTION("IMPORTRANGE(""https://docs.google.com/spreadsheets/d/11923uPwbBZFjjGgGUA6NLw09EwE0CqkOc4q9oUmW1yo/edit?usp=sharing"",""พิษณุโลก!I514"")"),0)</f>
        <v>0</v>
      </c>
      <c r="J619" s="188">
        <f ca="1">IFERROR(__xludf.DUMMYFUNCTION("IMPORTRANGE(""https://docs.google.com/spreadsheets/d/11923uPwbBZFjjGgGUA6NLw09EwE0CqkOc4q9oUmW1yo/edit?usp=sharing"",""พิษณุโลก!J514"")"),0)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IFERROR(__xludf.DUMMYFUNCTION("IMPORTRANGE(""https://docs.google.com/spreadsheets/d/11923uPwbBZFjjGgGUA6NLw09EwE0CqkOc4q9oUmW1yo/edit?usp=sharing"",""พิษณุโลก!I515"")"),32)</f>
        <v>32</v>
      </c>
      <c r="J620" s="202">
        <f ca="1">IFERROR(__xludf.DUMMYFUNCTION("IMPORTRANGE(""https://docs.google.com/spreadsheets/d/11923uPwbBZFjjGgGUA6NLw09EwE0CqkOc4q9oUmW1yo/edit?usp=sharing"",""พิษณุโลก!J515"")"),0)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IFERROR(__xludf.DUMMYFUNCTION("IMPORTRANGE(""https://docs.google.com/spreadsheets/d/11923uPwbBZFjjGgGUA6NLw09EwE0CqkOc4q9oUmW1yo/edit?usp=sharing"",""พิษณุโลก!I516"")"),0)</f>
        <v>0</v>
      </c>
      <c r="J621" s="202">
        <f ca="1">IFERROR(__xludf.DUMMYFUNCTION("IMPORTRANGE(""https://docs.google.com/spreadsheets/d/11923uPwbBZFjjGgGUA6NLw09EwE0CqkOc4q9oUmW1yo/edit?usp=sharing"",""พิษณุโลก!J516"")"),0)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IFERROR(__xludf.DUMMYFUNCTION("IMPORTRANGE(""https://docs.google.com/spreadsheets/d/11923uPwbBZFjjGgGUA6NLw09EwE0CqkOc4q9oUmW1yo/edit?usp=sharing"",""พิษณุโลก!I517"")"),0)</f>
        <v>0</v>
      </c>
      <c r="J622" s="188">
        <f ca="1">IFERROR(__xludf.DUMMYFUNCTION("IMPORTRANGE(""https://docs.google.com/spreadsheets/d/11923uPwbBZFjjGgGUA6NLw09EwE0CqkOc4q9oUmW1yo/edit?usp=sharing"",""พิษณุโลก!J517"")"),0)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IFERROR(__xludf.DUMMYFUNCTION("IMPORTRANGE(""https://docs.google.com/spreadsheets/d/11923uPwbBZFjjGgGUA6NLw09EwE0CqkOc4q9oUmW1yo/edit?usp=sharing"",""พิษณุโลก!I518"")"),0)</f>
        <v>0</v>
      </c>
      <c r="J623" s="188">
        <f ca="1">IFERROR(__xludf.DUMMYFUNCTION("IMPORTRANGE(""https://docs.google.com/spreadsheets/d/11923uPwbBZFjjGgGUA6NLw09EwE0CqkOc4q9oUmW1yo/edit?usp=sharing"",""พิษณุโลก!J518"")"),0)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IFERROR(__xludf.DUMMYFUNCTION("IMPORTRANGE(""https://docs.google.com/spreadsheets/d/11923uPwbBZFjjGgGUA6NLw09EwE0CqkOc4q9oUmW1yo/edit?usp=sharing"",""พิษณุโลก!I519"")"),0)</f>
        <v>0</v>
      </c>
      <c r="J624" s="187">
        <f ca="1">IFERROR(__xludf.DUMMYFUNCTION("IMPORTRANGE(""https://docs.google.com/spreadsheets/d/11923uPwbBZFjjGgGUA6NLw09EwE0CqkOc4q9oUmW1yo/edit?usp=sharing"",""พิษณุโลก!J519"")"),0)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IFERROR(__xludf.DUMMYFUNCTION("IMPORTRANGE(""https://docs.google.com/spreadsheets/d/11923uPwbBZFjjGgGUA6NLw09EwE0CqkOc4q9oUmW1yo/edit?usp=sharing"",""พิษณุโลก!I520"")"),0)</f>
        <v>0</v>
      </c>
      <c r="J625" s="188">
        <f ca="1">IFERROR(__xludf.DUMMYFUNCTION("IMPORTRANGE(""https://docs.google.com/spreadsheets/d/11923uPwbBZFjjGgGUA6NLw09EwE0CqkOc4q9oUmW1yo/edit?usp=sharing"",""พิษณุโลก!J520"")"),0)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IFERROR(__xludf.DUMMYFUNCTION("IMPORTRANGE(""https://docs.google.com/spreadsheets/d/11923uPwbBZFjjGgGUA6NLw09EwE0CqkOc4q9oUmW1yo/edit?usp=sharing"",""พิษณุโลก!I521"")"),0)</f>
        <v>0</v>
      </c>
      <c r="J626" s="188">
        <f ca="1">IFERROR(__xludf.DUMMYFUNCTION("IMPORTRANGE(""https://docs.google.com/spreadsheets/d/11923uPwbBZFjjGgGUA6NLw09EwE0CqkOc4q9oUmW1yo/edit?usp=sharing"",""พิษณุโลก!J521"")"),0)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41">
        <f ca="1">IFERROR(__xludf.DUMMYFUNCTION("IMPORTRANGE(""https://docs.google.com/spreadsheets/d/11923uPwbBZFjjGgGUA6NLw09EwE0CqkOc4q9oUmW1yo/edit?usp=sharing"",""พิษณุโลก!J523"")"),2910960.13)</f>
        <v>2910960.13</v>
      </c>
      <c r="K628" s="342">
        <f t="shared" ref="K628:K635" ca="1" si="129">IF(I628&gt;0,J628*100/I628,0)</f>
        <v>74.82798312266813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IFERROR(__xludf.DUMMYFUNCTION("IMPORTRANGE(""https://docs.google.com/spreadsheets/d/11923uPwbBZFjjGgGUA6NLw09EwE0CqkOc4q9oUmW1yo/edit?usp=sharing"",""พิษณุโลก!I524"")"),290)</f>
        <v>290</v>
      </c>
      <c r="J629" s="341">
        <f ca="1">IFERROR(__xludf.DUMMYFUNCTION("IMPORTRANGE(""https://docs.google.com/spreadsheets/d/11923uPwbBZFjjGgGUA6NLw09EwE0CqkOc4q9oUmW1yo/edit?usp=sharing"",""พิษณุโลก!J524"")"),221)</f>
        <v>221</v>
      </c>
      <c r="K629" s="342">
        <f t="shared" ca="1" si="129"/>
        <v>76.206896551724142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41">
        <f ca="1">IFERROR(__xludf.DUMMYFUNCTION("IMPORTRANGE(""https://docs.google.com/spreadsheets/d/11923uPwbBZFjjGgGUA6NLw09EwE0CqkOc4q9oUmW1yo/edit?usp=sharing"",""พิษณุโลก!J525"")"),554118.19)</f>
        <v>554118.18999999994</v>
      </c>
      <c r="K630" s="342">
        <f t="shared" ca="1" si="129"/>
        <v>21.63060472153704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IFERROR(__xludf.DUMMYFUNCTION("IMPORTRANGE(""https://docs.google.com/spreadsheets/d/11923uPwbBZFjjGgGUA6NLw09EwE0CqkOc4q9oUmW1yo/edit?usp=sharing"",""พิษณุโลก!I526"")"),116)</f>
        <v>116</v>
      </c>
      <c r="J631" s="341">
        <f ca="1">IFERROR(__xludf.DUMMYFUNCTION("IMPORTRANGE(""https://docs.google.com/spreadsheets/d/11923uPwbBZFjjGgGUA6NLw09EwE0CqkOc4q9oUmW1yo/edit?usp=sharing"",""พิษณุโลก!J526"")"),92)</f>
        <v>92</v>
      </c>
      <c r="K631" s="342">
        <f t="shared" ca="1" si="129"/>
        <v>79.310344827586206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IFERROR(__xludf.DUMMYFUNCTION("IMPORTRANGE(""https://docs.google.com/spreadsheets/d/11923uPwbBZFjjGgGUA6NLw09EwE0CqkOc4q9oUmW1yo/edit?usp=sharing"",""พิษณุโลก!I527"")"),0)</f>
        <v>0</v>
      </c>
      <c r="J632" s="341">
        <f ca="1">IFERROR(__xludf.DUMMYFUNCTION("IMPORTRANGE(""https://docs.google.com/spreadsheets/d/11923uPwbBZFjjGgGUA6NLw09EwE0CqkOc4q9oUmW1yo/edit?usp=sharing"",""พิษณุโลก!J527"")"),0)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IFERROR(__xludf.DUMMYFUNCTION("IMPORTRANGE(""https://docs.google.com/spreadsheets/d/11923uPwbBZFjjGgGUA6NLw09EwE0CqkOc4q9oUmW1yo/edit?usp=sharing"",""พิษณุโลก!I528"")"),0)</f>
        <v>0</v>
      </c>
      <c r="J633" s="341">
        <f ca="1">IFERROR(__xludf.DUMMYFUNCTION("IMPORTRANGE(""https://docs.google.com/spreadsheets/d/11923uPwbBZFjjGgGUA6NLw09EwE0CqkOc4q9oUmW1yo/edit?usp=sharing"",""พิษณุโลก!J528"")"),0)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IFERROR(__xludf.DUMMYFUNCTION("IMPORTRANGE(""https://docs.google.com/spreadsheets/d/11923uPwbBZFjjGgGUA6NLw09EwE0CqkOc4q9oUmW1yo/edit?usp=sharing"",""พิษณุโลก!I529"")"),4000000)</f>
        <v>4000000</v>
      </c>
      <c r="J634" s="341">
        <f ca="1">IFERROR(__xludf.DUMMYFUNCTION("IMPORTRANGE(""https://docs.google.com/spreadsheets/d/11923uPwbBZFjjGgGUA6NLw09EwE0CqkOc4q9oUmW1yo/edit?usp=sharing"",""พิษณุโลก!J529"")"),3060000)</f>
        <v>3060000</v>
      </c>
      <c r="K634" s="342">
        <f t="shared" ca="1" si="129"/>
        <v>76.5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IFERROR(__xludf.DUMMYFUNCTION("IMPORTRANGE(""https://docs.google.com/spreadsheets/d/11923uPwbBZFjjGgGUA6NLw09EwE0CqkOc4q9oUmW1yo/edit?usp=sharing"",""พิษณุโลก!I530"")"),100)</f>
        <v>100</v>
      </c>
      <c r="J635" s="505">
        <f ca="1">IFERROR(__xludf.DUMMYFUNCTION("IMPORTRANGE(""https://docs.google.com/spreadsheets/d/11923uPwbBZFjjGgGUA6NLw09EwE0CqkOc4q9oUmW1yo/edit?usp=sharing"",""พิษณุโลก!J530"")"),85)</f>
        <v>85</v>
      </c>
      <c r="K635" s="487">
        <f t="shared" ca="1" si="129"/>
        <v>85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IFERROR(__xludf.DUMMYFUNCTION("IMPORTRANGE(""https://docs.google.com/spreadsheets/d/11923uPwbBZFjjGgGUA6NLw09EwE0CqkOc4q9oUmW1yo/edit?usp=sharing"",""พิษณุโลก!J541"")"),0)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IFERROR(__xludf.DUMMYFUNCTION("IMPORTRANGE(""https://docs.google.com/spreadsheets/d/11923uPwbBZFjjGgGUA6NLw09EwE0CqkOc4q9oUmW1yo/edit?usp=sharing"",""พิษณุโลก!J542"")"),0)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IFERROR(__xludf.DUMMYFUNCTION("IMPORTRANGE(""https://docs.google.com/spreadsheets/d/11923uPwbBZFjjGgGUA6NLw09EwE0CqkOc4q9oUmW1yo/edit?usp=sharing"",""พิษณุโลก!I543"")"),0)</f>
        <v>0</v>
      </c>
      <c r="J648" s="536">
        <f ca="1">IFERROR(__xludf.DUMMYFUNCTION("IMPORTRANGE(""https://docs.google.com/spreadsheets/d/11923uPwbBZFjjGgGUA6NLw09EwE0CqkOc4q9oUmW1yo/edit?usp=sharing"",""พิษณุโลก!J543"")"),0)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IFERROR(__xludf.DUMMYFUNCTION("IMPORTRANGE(""https://docs.google.com/spreadsheets/d/11923uPwbBZFjjGgGUA6NLw09EwE0CqkOc4q9oUmW1yo/edit?usp=sharing"",""พิษณุโลก!L543"")"),0)</f>
        <v>0</v>
      </c>
      <c r="M648" s="521"/>
      <c r="N648" s="538">
        <f ca="1">IFERROR(__xludf.DUMMYFUNCTION("IMPORTRANGE(""https://docs.google.com/spreadsheets/d/11923uPwbBZFjjGgGUA6NLw09EwE0CqkOc4q9oUmW1yo/edit?usp=sharing"",""พิษณุโลก!M543"")"),0)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IFERROR(__xludf.DUMMYFUNCTION("IMPORTRANGE(""https://docs.google.com/spreadsheets/d/11923uPwbBZFjjGgGUA6NLw09EwE0CqkOc4q9oUmW1yo/edit?usp=sharing"",""พิษณุโลก!I544"")"),0)</f>
        <v>0</v>
      </c>
      <c r="J649" s="536">
        <f ca="1">IFERROR(__xludf.DUMMYFUNCTION("IMPORTRANGE(""https://docs.google.com/spreadsheets/d/11923uPwbBZFjjGgGUA6NLw09EwE0CqkOc4q9oUmW1yo/edit?usp=sharing"",""พิษณุโลก!J544"")"),0)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IFERROR(__xludf.DUMMYFUNCTION("IMPORTRANGE(""https://docs.google.com/spreadsheets/d/11923uPwbBZFjjGgGUA6NLw09EwE0CqkOc4q9oUmW1yo/edit?usp=sharing"",""พิษณุโลก!L544"")"),0)</f>
        <v>0</v>
      </c>
      <c r="M649" s="521"/>
      <c r="N649" s="538">
        <f ca="1">IFERROR(__xludf.DUMMYFUNCTION("IMPORTRANGE(""https://docs.google.com/spreadsheets/d/11923uPwbBZFjjGgGUA6NLw09EwE0CqkOc4q9oUmW1yo/edit?usp=sharing"",""พิษณุโลก!M544"")"),0)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IFERROR(__xludf.DUMMYFUNCTION("IMPORTRANGE(""https://docs.google.com/spreadsheets/d/11923uPwbBZFjjGgGUA6NLw09EwE0CqkOc4q9oUmW1yo/edit?usp=sharing"",""พิษณุโลก!I545"")"),0)</f>
        <v>0</v>
      </c>
      <c r="J650" s="536">
        <f ca="1">IFERROR(__xludf.DUMMYFUNCTION("IMPORTRANGE(""https://docs.google.com/spreadsheets/d/11923uPwbBZFjjGgGUA6NLw09EwE0CqkOc4q9oUmW1yo/edit?usp=sharing"",""พิษณุโลก!J545"")"),0)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IFERROR(__xludf.DUMMYFUNCTION("IMPORTRANGE(""https://docs.google.com/spreadsheets/d/11923uPwbBZFjjGgGUA6NLw09EwE0CqkOc4q9oUmW1yo/edit?usp=sharing"",""พิษณุโลก!L545"")"),0)</f>
        <v>0</v>
      </c>
      <c r="M650" s="521"/>
      <c r="N650" s="538">
        <f ca="1">IFERROR(__xludf.DUMMYFUNCTION("IMPORTRANGE(""https://docs.google.com/spreadsheets/d/11923uPwbBZFjjGgGUA6NLw09EwE0CqkOc4q9oUmW1yo/edit?usp=sharing"",""พิษณุโลก!M545"")"),0)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IFERROR(__xludf.DUMMYFUNCTION("IMPORTRANGE(""https://docs.google.com/spreadsheets/d/11923uPwbBZFjjGgGUA6NLw09EwE0CqkOc4q9oUmW1yo/edit?usp=sharing"",""พิษณุโลก!I546"")"),0)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IFERROR(__xludf.DUMMYFUNCTION("IMPORTRANGE(""https://docs.google.com/spreadsheets/d/11923uPwbBZFjjGgGUA6NLw09EwE0CqkOc4q9oUmW1yo/edit?usp=sharing"",""พิษณุโลก!L546"")"),0)</f>
        <v>0</v>
      </c>
      <c r="M651" s="521"/>
      <c r="N651" s="538">
        <f ca="1">IFERROR(__xludf.DUMMYFUNCTION("IMPORTRANGE(""https://docs.google.com/spreadsheets/d/11923uPwbBZFjjGgGUA6NLw09EwE0CqkOc4q9oUmW1yo/edit?usp=sharing"",""พิษณุโลก!M546"")"),0)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IFERROR(__xludf.DUMMYFUNCTION("IMPORTRANGE(""https://docs.google.com/spreadsheets/d/11923uPwbBZFjjGgGUA6NLw09EwE0CqkOc4q9oUmW1yo/edit?usp=sharing"",""พิษณุโลก!J547"")"),0)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IFERROR(__xludf.DUMMYFUNCTION("IMPORTRANGE(""https://docs.google.com/spreadsheets/d/11923uPwbBZFjjGgGUA6NLw09EwE0CqkOc4q9oUmW1yo/edit?usp=sharing"",""พิษณุโลก!J548"")"),0)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IFERROR(__xludf.DUMMYFUNCTION("IMPORTRANGE(""https://docs.google.com/spreadsheets/d/11923uPwbBZFjjGgGUA6NLw09EwE0CqkOc4q9oUmW1yo/edit?usp=sharing"",""พิษณุโลก!J550"")"),0)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IFERROR(__xludf.DUMMYFUNCTION("IMPORTRANGE(""https://docs.google.com/spreadsheets/d/11923uPwbBZFjjGgGUA6NLw09EwE0CqkOc4q9oUmW1yo/edit?usp=sharing"",""พิษณุโลก!J551"")"),0)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IFERROR(__xludf.DUMMYFUNCTION("IMPORTRANGE(""https://docs.google.com/spreadsheets/d/11923uPwbBZFjjGgGUA6NLw09EwE0CqkOc4q9oUmW1yo/edit?usp=sharing"",""พิษณุโลก!J552"")"),0)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IFERROR(__xludf.DUMMYFUNCTION("IMPORTRANGE(""https://docs.google.com/spreadsheets/d/11923uPwbBZFjjGgGUA6NLw09EwE0CqkOc4q9oUmW1yo/edit?usp=sharing"",""พิษณุโลก!J553"")"),0)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IFERROR(__xludf.DUMMYFUNCTION("IMPORTRANGE(""https://docs.google.com/spreadsheets/d/11923uPwbBZFjjGgGUA6NLw09EwE0CqkOc4q9oUmW1yo/edit?usp=sharing"",""พิษณุโลก!J554"")"),0)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IFERROR(__xludf.DUMMYFUNCTION("IMPORTRANGE(""https://docs.google.com/spreadsheets/d/11923uPwbBZFjjGgGUA6NLw09EwE0CqkOc4q9oUmW1yo/edit?usp=sharing"",""พิษณุโลก!J555"")"),0)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IFERROR(__xludf.DUMMYFUNCTION("IMPORTRANGE(""https://docs.google.com/spreadsheets/d/11923uPwbBZFjjGgGUA6NLw09EwE0CqkOc4q9oUmW1yo/edit?usp=sharing"",""พิษณุโลก!J556"")"),0)</f>
        <v>0</v>
      </c>
      <c r="K661" s="537"/>
      <c r="L661" s="522">
        <f ca="1">IFERROR(__xludf.DUMMYFUNCTION("IMPORTRANGE(""https://docs.google.com/spreadsheets/d/11923uPwbBZFjjGgGUA6NLw09EwE0CqkOc4q9oUmW1yo/edit?usp=sharing"",""พิษณุโลก!L556"")"),0)</f>
        <v>0</v>
      </c>
      <c r="M661" s="521"/>
      <c r="N661" s="538">
        <f ca="1">IFERROR(__xludf.DUMMYFUNCTION("IMPORTRANGE(""https://docs.google.com/spreadsheets/d/11923uPwbBZFjjGgGUA6NLw09EwE0CqkOc4q9oUmW1yo/edit?usp=sharing"",""พิษณุโลก!M556"")"),0)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IFERROR(__xludf.DUMMYFUNCTION("IMPORTRANGE(""https://docs.google.com/spreadsheets/d/11923uPwbBZFjjGgGUA6NLw09EwE0CqkOc4q9oUmW1yo/edit?usp=sharing"",""พิษณุโลก!J557"")"),0)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IFERROR(__xludf.DUMMYFUNCTION("IMPORTRANGE(""https://docs.google.com/spreadsheets/d/11923uPwbBZFjjGgGUA6NLw09EwE0CqkOc4q9oUmW1yo/edit?usp=sharing"",""พิษณุโลก!I558"")"),0)</f>
        <v>0</v>
      </c>
      <c r="J663" s="536">
        <f ca="1">IFERROR(__xludf.DUMMYFUNCTION("IMPORTRANGE(""https://docs.google.com/spreadsheets/d/11923uPwbBZFjjGgGUA6NLw09EwE0CqkOc4q9oUmW1yo/edit?usp=sharing"",""พิษณุโลก!J558"")"),0)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IFERROR(__xludf.DUMMYFUNCTION("IMPORTRANGE(""https://docs.google.com/spreadsheets/d/11923uPwbBZFjjGgGUA6NLw09EwE0CqkOc4q9oUmW1yo/edit?usp=sharing"",""พิษณุโลก!I560"")"),0)</f>
        <v>0</v>
      </c>
      <c r="J665" s="536">
        <f ca="1">IFERROR(__xludf.DUMMYFUNCTION("IMPORTRANGE(""https://docs.google.com/spreadsheets/d/11923uPwbBZFjjGgGUA6NLw09EwE0CqkOc4q9oUmW1yo/edit?usp=sharing"",""พิษณุโลก!J560"")"),0)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IFERROR(__xludf.DUMMYFUNCTION("IMPORTRANGE(""https://docs.google.com/spreadsheets/d/11923uPwbBZFjjGgGUA6NLw09EwE0CqkOc4q9oUmW1yo/edit?usp=sharing"",""พิษณุโลก!L560"")"),0)</f>
        <v>0</v>
      </c>
      <c r="M665" s="521"/>
      <c r="N665" s="538">
        <f ca="1">IFERROR(__xludf.DUMMYFUNCTION("IMPORTRANGE(""https://docs.google.com/spreadsheets/d/11923uPwbBZFjjGgGUA6NLw09EwE0CqkOc4q9oUmW1yo/edit?usp=sharing"",""พิษณุโลก!M560"")"),0)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IFERROR(__xludf.DUMMYFUNCTION("IMPORTRANGE(""https://docs.google.com/spreadsheets/d/11923uPwbBZFjjGgGUA6NLw09EwE0CqkOc4q9oUmW1yo/edit?usp=sharing"",""พิษณุโลก!J561"")"),0)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IFERROR(__xludf.DUMMYFUNCTION("IMPORTRANGE(""https://docs.google.com/spreadsheets/d/11923uPwbBZFjjGgGUA6NLw09EwE0CqkOc4q9oUmW1yo/edit?usp=sharing"",""พิษณุโลก!J562"")"),0)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IFERROR(__xludf.DUMMYFUNCTION("IMPORTRANGE(""https://docs.google.com/spreadsheets/d/11923uPwbBZFjjGgGUA6NLw09EwE0CqkOc4q9oUmW1yo/edit?usp=sharing"",""พิษณุโลก!I563"")"),0)</f>
        <v>0</v>
      </c>
      <c r="J668" s="536">
        <f ca="1">IFERROR(__xludf.DUMMYFUNCTION("IMPORTRANGE(""https://docs.google.com/spreadsheets/d/11923uPwbBZFjjGgGUA6NLw09EwE0CqkOc4q9oUmW1yo/edit?usp=sharing"",""พิษณุโลก!J563"")"),0)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IFERROR(__xludf.DUMMYFUNCTION("IMPORTRANGE(""https://docs.google.com/spreadsheets/d/11923uPwbBZFjjGgGUA6NLw09EwE0CqkOc4q9oUmW1yo/edit?usp=sharing"",""พิษณุโลก!L563"")"),0)</f>
        <v>0</v>
      </c>
      <c r="M668" s="521"/>
      <c r="N668" s="538">
        <f ca="1">IFERROR(__xludf.DUMMYFUNCTION("IMPORTRANGE(""https://docs.google.com/spreadsheets/d/11923uPwbBZFjjGgGUA6NLw09EwE0CqkOc4q9oUmW1yo/edit?usp=sharing"",""พิษณุโลก!M563"")"),0)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IFERROR(__xludf.DUMMYFUNCTION("IMPORTRANGE(""https://docs.google.com/spreadsheets/d/11923uPwbBZFjjGgGUA6NLw09EwE0CqkOc4q9oUmW1yo/edit?usp=sharing"",""พิษณุโลก!J564"")"),0)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IFERROR(__xludf.DUMMYFUNCTION("IMPORTRANGE(""https://docs.google.com/spreadsheets/d/11923uPwbBZFjjGgGUA6NLw09EwE0CqkOc4q9oUmW1yo/edit?usp=sharing"",""พิษณุโลก!J565"")"),0)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IFERROR(__xludf.DUMMYFUNCTION("IMPORTRANGE(""https://docs.google.com/spreadsheets/d/11923uPwbBZFjjGgGUA6NLw09EwE0CqkOc4q9oUmW1yo/edit?usp=sharing"",""พิษณุโลก!I566"")"),0)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IFERROR(__xludf.DUMMYFUNCTION("IMPORTRANGE(""https://docs.google.com/spreadsheets/d/11923uPwbBZFjjGgGUA6NLw09EwE0CqkOc4q9oUmW1yo/edit?usp=sharing"",""พิษณุโลก!L566"")"),0)</f>
        <v>0</v>
      </c>
      <c r="M671" s="521"/>
      <c r="N671" s="538">
        <f ca="1">IFERROR(__xludf.DUMMYFUNCTION("IMPORTRANGE(""https://docs.google.com/spreadsheets/d/11923uPwbBZFjjGgGUA6NLw09EwE0CqkOc4q9oUmW1yo/edit?usp=sharing"",""พิษณุโลก!M566"")"),0)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IFERROR(__xludf.DUMMYFUNCTION("IMPORTRANGE(""https://docs.google.com/spreadsheets/d/11923uPwbBZFjjGgGUA6NLw09EwE0CqkOc4q9oUmW1yo/edit?usp=sharing"",""พิษณุโลก!J567"")"),0)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IFERROR(__xludf.DUMMYFUNCTION("IMPORTRANGE(""https://docs.google.com/spreadsheets/d/11923uPwbBZFjjGgGUA6NLw09EwE0CqkOc4q9oUmW1yo/edit?usp=sharing"",""พิษณุโลก!J568"")"),0)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IFERROR(__xludf.DUMMYFUNCTION("IMPORTRANGE(""https://docs.google.com/spreadsheets/d/11923uPwbBZFjjGgGUA6NLw09EwE0CqkOc4q9oUmW1yo/edit?usp=sharing"",""พิษณุโลก!J569"")"),0)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IFERROR(__xludf.DUMMYFUNCTION("IMPORTRANGE(""https://docs.google.com/spreadsheets/d/11923uPwbBZFjjGgGUA6NLw09EwE0CqkOc4q9oUmW1yo/edit?usp=sharing"",""พิษณุโลก!J570"")"),0)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IFERROR(__xludf.DUMMYFUNCTION("IMPORTRANGE(""https://docs.google.com/spreadsheets/d/11923uPwbBZFjjGgGUA6NLw09EwE0CqkOc4q9oUmW1yo/edit?usp=sharing"",""พิษณุโลก!J571"")"),0)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IFERROR(__xludf.DUMMYFUNCTION("IMPORTRANGE(""https://docs.google.com/spreadsheets/d/11923uPwbBZFjjGgGUA6NLw09EwE0CqkOc4q9oUmW1yo/edit?usp=sharing"",""พิษณุโลก!J572"")"),0)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3:P3"/>
    <mergeCell ref="A2:P2"/>
    <mergeCell ref="A1:P1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278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7036561</v>
      </c>
      <c r="M8" s="23">
        <f t="shared" ca="1" si="0"/>
        <v>4243744</v>
      </c>
      <c r="N8" s="23">
        <f t="shared" ca="1" si="0"/>
        <v>4911854.03</v>
      </c>
      <c r="O8" s="22">
        <f t="shared" ref="O8:O16" ca="1" si="1">IF(L8&gt;0,N8*100/L8,0)</f>
        <v>69.804753060479399</v>
      </c>
      <c r="P8" s="22">
        <f t="shared" ref="P8:P16" ca="1" si="2">IF(M8&gt;0,N8*100/M8,0)</f>
        <v>115.74341029996154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7036561</v>
      </c>
      <c r="M10" s="30">
        <f t="shared" ca="1" si="4"/>
        <v>4243744</v>
      </c>
      <c r="N10" s="30">
        <f t="shared" ca="1" si="4"/>
        <v>4911854.03</v>
      </c>
      <c r="O10" s="29">
        <f t="shared" ca="1" si="1"/>
        <v>69.804753060479399</v>
      </c>
      <c r="P10" s="29">
        <f t="shared" ca="1" si="2"/>
        <v>115.74341029996154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6803261</v>
      </c>
      <c r="M12" s="39">
        <f t="shared" ca="1" si="6"/>
        <v>4010444</v>
      </c>
      <c r="N12" s="39">
        <f t="shared" ca="1" si="6"/>
        <v>4678554.03</v>
      </c>
      <c r="O12" s="39">
        <f t="shared" ca="1" si="1"/>
        <v>68.769286229059858</v>
      </c>
      <c r="P12" s="39">
        <f t="shared" ca="1" si="2"/>
        <v>116.65925343927006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1991600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4811661</v>
      </c>
      <c r="M14" s="39">
        <f t="shared" si="8"/>
        <v>0</v>
      </c>
      <c r="N14" s="39">
        <f t="shared" ca="1" si="8"/>
        <v>1835862.46</v>
      </c>
      <c r="O14" s="39">
        <f t="shared" ca="1" si="1"/>
        <v>38.154443133046989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233300</v>
      </c>
      <c r="M16" s="39">
        <f t="shared" ca="1" si="10"/>
        <v>233300</v>
      </c>
      <c r="N16" s="39">
        <f t="shared" ca="1" si="10"/>
        <v>233300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3960805</v>
      </c>
      <c r="M18" s="23">
        <f t="shared" ca="1" si="11"/>
        <v>4243744</v>
      </c>
      <c r="N18" s="23">
        <f t="shared" ca="1" si="11"/>
        <v>3075991.5700000003</v>
      </c>
      <c r="O18" s="22">
        <f t="shared" ref="O18:O20" ca="1" si="12">IF(L18&gt;0,N18*100/L18,0)</f>
        <v>77.660767697475634</v>
      </c>
      <c r="P18" s="22">
        <f t="shared" ref="P18:P26" ca="1" si="13">IF(M18&gt;0,N18*100/M18,0)</f>
        <v>72.482967162957991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3960805</v>
      </c>
      <c r="M20" s="30">
        <f t="shared" ca="1" si="15"/>
        <v>4243744</v>
      </c>
      <c r="N20" s="30">
        <f t="shared" ca="1" si="15"/>
        <v>3075991.5700000003</v>
      </c>
      <c r="O20" s="29">
        <f t="shared" ca="1" si="12"/>
        <v>77.660767697475634</v>
      </c>
      <c r="P20" s="29">
        <f t="shared" ca="1" si="13"/>
        <v>72.482967162957991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3727505</v>
      </c>
      <c r="M22" s="42">
        <f t="shared" ca="1" si="18"/>
        <v>4010444</v>
      </c>
      <c r="N22" s="39">
        <f t="shared" ca="1" si="18"/>
        <v>2842691.5700000003</v>
      </c>
      <c r="O22" s="39">
        <f t="shared" ca="1" si="17"/>
        <v>76.262582343953937</v>
      </c>
      <c r="P22" s="39">
        <f t="shared" ca="1" si="13"/>
        <v>70.88221578458645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1991600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1735905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233300</v>
      </c>
      <c r="M26" s="50">
        <f t="shared" ca="1" si="22"/>
        <v>233300</v>
      </c>
      <c r="N26" s="50">
        <f t="shared" ca="1" si="22"/>
        <v>233300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3075756</v>
      </c>
      <c r="M28" s="23">
        <f t="shared" si="23"/>
        <v>0</v>
      </c>
      <c r="N28" s="23">
        <f t="shared" ca="1" si="23"/>
        <v>1835862.46</v>
      </c>
      <c r="O28" s="22">
        <f t="shared" ref="O28:O30" ca="1" si="24">IF(L28&gt;0,N28*100/L28,0)</f>
        <v>59.688169672756878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3075756</v>
      </c>
      <c r="M30" s="30">
        <f t="shared" si="27"/>
        <v>0</v>
      </c>
      <c r="N30" s="30">
        <f t="shared" ca="1" si="27"/>
        <v>1835862.46</v>
      </c>
      <c r="O30" s="29">
        <f t="shared" ca="1" si="24"/>
        <v>59.688169672756878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3075756</v>
      </c>
      <c r="M32" s="39">
        <f t="shared" si="30"/>
        <v>0</v>
      </c>
      <c r="N32" s="39">
        <f t="shared" ca="1" si="30"/>
        <v>1835862.46</v>
      </c>
      <c r="O32" s="39">
        <f t="shared" ca="1" si="29"/>
        <v>59.688169672756878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3075756</v>
      </c>
      <c r="M34" s="39">
        <f t="shared" si="32"/>
        <v>0</v>
      </c>
      <c r="N34" s="39">
        <f t="shared" ca="1" si="32"/>
        <v>1835862.46</v>
      </c>
      <c r="O34" s="39">
        <f t="shared" ca="1" si="29"/>
        <v>59.688169672756878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3960805</v>
      </c>
      <c r="M37" s="55">
        <f t="shared" ca="1" si="33"/>
        <v>4243744</v>
      </c>
      <c r="N37" s="55">
        <f t="shared" ca="1" si="33"/>
        <v>3075991.5700000003</v>
      </c>
      <c r="O37" s="56">
        <f t="shared" ca="1" si="29"/>
        <v>77.660767697475634</v>
      </c>
      <c r="P37" s="56">
        <f t="shared" ca="1" si="25"/>
        <v>72.482967162957991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978600</v>
      </c>
      <c r="M41" s="79">
        <f t="shared" ca="1" si="34"/>
        <v>978600</v>
      </c>
      <c r="N41" s="79">
        <f t="shared" ca="1" si="34"/>
        <v>738373.8</v>
      </c>
      <c r="O41" s="78">
        <f t="shared" ref="O41:O43" ca="1" si="35">IF(L41&gt;0,N41*100/L41,0)</f>
        <v>75.452053954629065</v>
      </c>
      <c r="P41" s="78">
        <f t="shared" ref="P41:P43" ca="1" si="36">IF(M41&gt;0,N41*100/M41,0)</f>
        <v>75.452053954629065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978600</v>
      </c>
      <c r="M43" s="79">
        <f t="shared" ca="1" si="38"/>
        <v>978600</v>
      </c>
      <c r="N43" s="79">
        <f t="shared" ca="1" si="38"/>
        <v>738373.8</v>
      </c>
      <c r="O43" s="78">
        <f t="shared" ca="1" si="35"/>
        <v>75.452053954629065</v>
      </c>
      <c r="P43" s="78">
        <f t="shared" ca="1" si="36"/>
        <v>75.452053954629065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810100</v>
      </c>
      <c r="M45" s="50">
        <f ca="1">IFERROR(__xludf.DUMMYFUNCTION("IMPORTRANGE(""https://docs.google.com/spreadsheets/d/1Yj_ptqi66GCucihVvJfMjLAmec39IyEx_6qawtMGysU/edit?usp=sharing"",""สบก!Q29"")"),810100)</f>
        <v>810100</v>
      </c>
      <c r="N45" s="50">
        <f ca="1">IFERROR(__xludf.DUMMYFUNCTION("IMPORTRANGE(""https://docs.google.com/spreadsheets/d/1Yj_ptqi66GCucihVvJfMjLAmec39IyEx_6qawtMGysU/edit?usp=sharing"",""สบก!R29"")"),569873.8)</f>
        <v>569873.80000000005</v>
      </c>
      <c r="O45" s="39">
        <f ca="1">IF(L45&gt;0,N45*100/L45,0)</f>
        <v>70.346105419084068</v>
      </c>
      <c r="P45" s="39">
        <f ca="1">IF(M45&gt;0,N45*100/M45,0)</f>
        <v>70.346105419084068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IFERROR(__xludf.DUMMYFUNCTION("IMPORTRANGE(""https://docs.google.com/spreadsheets/d/1Yj_ptqi66GCucihVvJfMjLAmec39IyEx_6qawtMGysU/edit?usp=sharing"",""สบก!M29"")"),810100)</f>
        <v>810100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IFERROR(__xludf.DUMMYFUNCTION("IMPORTRANGE(""https://docs.google.com/spreadsheets/d/1Yj_ptqi66GCucihVvJfMjLAmec39IyEx_6qawtMGysU/edit?usp=sharing"",""สบก!N29"")"),0)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IFERROR(__xludf.DUMMYFUNCTION("IMPORTRANGE(""https://docs.google.com/spreadsheets/d/1Yj_ptqi66GCucihVvJfMjLAmec39IyEx_6qawtMGysU/edit?usp=sharing"",""สบก!O29"")"),168500)</f>
        <v>168500</v>
      </c>
      <c r="M49" s="50">
        <f ca="1">L49</f>
        <v>168500</v>
      </c>
      <c r="N49" s="50">
        <f ca="1">IFERROR(__xludf.DUMMYFUNCTION("IMPORTRANGE(""https://docs.google.com/spreadsheets/d/1Yj_ptqi66GCucihVvJfMjLAmec39IyEx_6qawtMGysU/edit?usp=sharing"",""สบก!S29"")"),168500)</f>
        <v>168500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564000</v>
      </c>
      <c r="M53" s="121">
        <f t="shared" ca="1" si="39"/>
        <v>582629</v>
      </c>
      <c r="N53" s="121">
        <f t="shared" ca="1" si="39"/>
        <v>475057</v>
      </c>
      <c r="O53" s="120">
        <f t="shared" ref="O53:O55" ca="1" si="40">IF(L53&gt;0,N53*100/L53,0)</f>
        <v>84.229964539007099</v>
      </c>
      <c r="P53" s="120">
        <f t="shared" ref="P53:P55" ca="1" si="41">IF(M53&gt;0,N53*100/M53,0)</f>
        <v>81.536792710283905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564000</v>
      </c>
      <c r="M55" s="121">
        <f t="shared" ca="1" si="43"/>
        <v>582629</v>
      </c>
      <c r="N55" s="121">
        <f t="shared" ca="1" si="43"/>
        <v>475057</v>
      </c>
      <c r="O55" s="120">
        <f t="shared" ca="1" si="40"/>
        <v>84.229964539007099</v>
      </c>
      <c r="P55" s="120">
        <f t="shared" ca="1" si="41"/>
        <v>81.536792710283905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564000</v>
      </c>
      <c r="M57" s="50">
        <f ca="1">IFERROR(__xludf.DUMMYFUNCTION("IMPORTRANGE(""https://docs.google.com/spreadsheets/d/1Yj_ptqi66GCucihVvJfMjLAmec39IyEx_6qawtMGysU/edit?usp=sharing"",""สบก!Z29"")"),582629)</f>
        <v>582629</v>
      </c>
      <c r="N57" s="50">
        <f ca="1">IFERROR(__xludf.DUMMYFUNCTION("IMPORTRANGE(""https://docs.google.com/spreadsheets/d/1Yj_ptqi66GCucihVvJfMjLAmec39IyEx_6qawtMGysU/edit?usp=sharing"",""สบก!AA29"")"),475057)</f>
        <v>475057</v>
      </c>
      <c r="O57" s="39">
        <f ca="1">IF(L57&gt;0,N57*100/L57,0)</f>
        <v>84.229964539007099</v>
      </c>
      <c r="P57" s="39">
        <f ca="1">IF(M57&gt;0,N57*100/M57,0)</f>
        <v>81.536792710283905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IFERROR(__xludf.DUMMYFUNCTION("IMPORTRANGE(""https://docs.google.com/spreadsheets/d/1Yj_ptqi66GCucihVvJfMjLAmec39IyEx_6qawtMGysU/edit?usp=sharing"",""สบก!V29"")"),564000)</f>
        <v>564000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IFERROR(__xludf.DUMMYFUNCTION("IMPORTRANGE(""https://docs.google.com/spreadsheets/d/1Yj_ptqi66GCucihVvJfMjLAmec39IyEx_6qawtMGysU/edit?usp=sharing"",""สบก!W29"")"),0)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IFERROR(__xludf.DUMMYFUNCTION("IMPORTRANGE(""https://docs.google.com/spreadsheets/d/1Yj_ptqi66GCucihVvJfMjLAmec39IyEx_6qawtMGysU/edit?usp=sharing"",""สบก!X29"")"),0)</f>
        <v>0</v>
      </c>
      <c r="M61" s="50"/>
      <c r="N61" s="50">
        <f ca="1">IFERROR(__xludf.DUMMYFUNCTION("IMPORTRANGE(""https://docs.google.com/spreadsheets/d/1Yj_ptqi66GCucihVvJfMjLAmec39IyEx_6qawtMGysU/edit?usp=sharing"",""สบก!AB29"")"),0)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IFERROR(__xludf.DUMMYFUNCTION("IMPORTRANGE(""https://docs.google.com/spreadsheets/d/11923uPwbBZFjjGgGUA6NLw09EwE0CqkOc4q9oUmW1yo/edit?usp=sharing"",""เพชรบูรณ์!I9"")"),1)</f>
        <v>1</v>
      </c>
      <c r="J64" s="142">
        <f ca="1">IFERROR(__xludf.DUMMYFUNCTION("IMPORTRANGE(""https://docs.google.com/spreadsheets/d/11923uPwbBZFjjGgGUA6NLw09EwE0CqkOc4q9oUmW1yo/edit?usp=sharing"",""เพชรบูรณ์!J9"")"),1)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IFERROR(__xludf.DUMMYFUNCTION("IMPORTRANGE(""https://docs.google.com/spreadsheets/d/11923uPwbBZFjjGgGUA6NLw09EwE0CqkOc4q9oUmW1yo/edit?usp=sharing"",""เพชรบูรณ์!I10"")"),35)</f>
        <v>35</v>
      </c>
      <c r="J65" s="142">
        <f ca="1">IFERROR(__xludf.DUMMYFUNCTION("IMPORTRANGE(""https://docs.google.com/spreadsheets/d/11923uPwbBZFjjGgGUA6NLw09EwE0CqkOc4q9oUmW1yo/edit?usp=sharing"",""เพชรบูรณ์!J10"")"),35)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577500</v>
      </c>
      <c r="M66" s="152">
        <f t="shared" ca="1" si="45"/>
        <v>584120</v>
      </c>
      <c r="N66" s="152">
        <f t="shared" ca="1" si="45"/>
        <v>426617.77</v>
      </c>
      <c r="O66" s="151">
        <f t="shared" ref="O66:O68" ca="1" si="46">IF(L66&gt;0,N66*100/L66,0)</f>
        <v>73.873206926406922</v>
      </c>
      <c r="P66" s="151">
        <f t="shared" ref="P66:P68" ca="1" si="47">IF(M66&gt;0,N66*100/M66,0)</f>
        <v>73.03598062042046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577500</v>
      </c>
      <c r="M68" s="88">
        <f t="shared" ca="1" si="49"/>
        <v>584120</v>
      </c>
      <c r="N68" s="88">
        <f t="shared" ca="1" si="49"/>
        <v>426617.77</v>
      </c>
      <c r="O68" s="156">
        <f t="shared" ca="1" si="46"/>
        <v>73.873206926406922</v>
      </c>
      <c r="P68" s="156">
        <f t="shared" ca="1" si="47"/>
        <v>73.03598062042046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577500</v>
      </c>
      <c r="M70" s="167">
        <f ca="1">IFERROR(__xludf.DUMMYFUNCTION("IMPORTRANGE(""https://docs.google.com/spreadsheets/d/1Yj_ptqi66GCucihVvJfMjLAmec39IyEx_6qawtMGysU/edit?usp=sharing"",""สบก!AI29"")"),584120)</f>
        <v>584120</v>
      </c>
      <c r="N70" s="168">
        <f ca="1">IFERROR(__xludf.DUMMYFUNCTION("IMPORTRANGE(""https://docs.google.com/spreadsheets/d/1Yj_ptqi66GCucihVvJfMjLAmec39IyEx_6qawtMGysU/edit?usp=sharing"",""สบก!AJ29"")"),426617.77)</f>
        <v>426617.77</v>
      </c>
      <c r="O70" s="168">
        <f ca="1">IF(L70&gt;0,N70*100/L70,0)</f>
        <v>73.873206926406922</v>
      </c>
      <c r="P70" s="168">
        <f ca="1">IF(M70&gt;0,N70*100/M70,0)</f>
        <v>73.03598062042046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IFERROR(__xludf.DUMMYFUNCTION("IMPORTRANGE(""https://docs.google.com/spreadsheets/d/1Yj_ptqi66GCucihVvJfMjLAmec39IyEx_6qawtMGysU/edit?usp=sharing"",""สบก!AE29"")"),179500)</f>
        <v>179500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IFERROR(__xludf.DUMMYFUNCTION("IMPORTRANGE(""https://docs.google.com/spreadsheets/d/1Yj_ptqi66GCucihVvJfMjLAmec39IyEx_6qawtMGysU/edit?usp=sharing"",""สบก!AF29"")"),398000)</f>
        <v>398000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IFERROR(__xludf.DUMMYFUNCTION("IMPORTRANGE(""https://docs.google.com/spreadsheets/d/1Yj_ptqi66GCucihVvJfMjLAmec39IyEx_6qawtMGysU/edit?usp=sharing"",""สบก!AG29"")"),0)</f>
        <v>0</v>
      </c>
      <c r="M74" s="50"/>
      <c r="N74" s="50">
        <f ca="1">IFERROR(__xludf.DUMMYFUNCTION("IMPORTRANGE(""https://docs.google.com/spreadsheets/d/1Yj_ptqi66GCucihVvJfMjLAmec39IyEx_6qawtMGysU/edit?usp=sharing"",""สบก!AK29"")"),0)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IFERROR(__xludf.DUMMYFUNCTION("IMPORTRANGE(""https://docs.google.com/spreadsheets/d/11923uPwbBZFjjGgGUA6NLw09EwE0CqkOc4q9oUmW1yo/edit?usp=sharing"",""เพชรบูรณ์!J16"")"),0)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IFERROR(__xludf.DUMMYFUNCTION("IMPORTRANGE(""https://docs.google.com/spreadsheets/d/11923uPwbBZFjjGgGUA6NLw09EwE0CqkOc4q9oUmW1yo/edit?usp=sharing"",""เพชรบูรณ์!J17"")"),1)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IFERROR(__xludf.DUMMYFUNCTION("IMPORTRANGE(""https://docs.google.com/spreadsheets/d/11923uPwbBZFjjGgGUA6NLw09EwE0CqkOc4q9oUmW1yo/edit?usp=sharing"",""เพชรบูรณ์!J18"")"),1)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IFERROR(__xludf.DUMMYFUNCTION("IMPORTRANGE(""https://docs.google.com/spreadsheets/d/11923uPwbBZFjjGgGUA6NLw09EwE0CqkOc4q9oUmW1yo/edit?usp=sharing"",""เพชรบูรณ์!J19"")"),1)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IFERROR(__xludf.DUMMYFUNCTION("IMPORTRANGE(""https://docs.google.com/spreadsheets/d/11923uPwbBZFjjGgGUA6NLw09EwE0CqkOc4q9oUmW1yo/edit?usp=sharing"",""เพชรบูรณ์!I20"")"),1)</f>
        <v>1</v>
      </c>
      <c r="J80" s="200">
        <f ca="1">IFERROR(__xludf.DUMMYFUNCTION("IMPORTRANGE(""https://docs.google.com/spreadsheets/d/11923uPwbBZFjjGgGUA6NLw09EwE0CqkOc4q9oUmW1yo/edit?usp=sharing"",""เพชรบูรณ์!J20"")"),1)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IFERROR(__xludf.DUMMYFUNCTION("IMPORTRANGE(""https://docs.google.com/spreadsheets/d/11923uPwbBZFjjGgGUA6NLw09EwE0CqkOc4q9oUmW1yo/edit?usp=sharing"",""เพชรบูรณ์!I21"")"),35)</f>
        <v>35</v>
      </c>
      <c r="J81" s="200">
        <f ca="1">IFERROR(__xludf.DUMMYFUNCTION("IMPORTRANGE(""https://docs.google.com/spreadsheets/d/11923uPwbBZFjjGgGUA6NLw09EwE0CqkOc4q9oUmW1yo/edit?usp=sharing"",""เพชรบูรณ์!J21"")"),35)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IFERROR(__xludf.DUMMYFUNCTION("IMPORTRANGE(""https://docs.google.com/spreadsheets/d/11923uPwbBZFjjGgGUA6NLw09EwE0CqkOc4q9oUmW1yo/edit?usp=sharing"",""เพชรบูรณ์!I22"")"),0)</f>
        <v>0</v>
      </c>
      <c r="J82" s="203">
        <f ca="1">IFERROR(__xludf.DUMMYFUNCTION("IMPORTRANGE(""https://docs.google.com/spreadsheets/d/11923uPwbBZFjjGgGUA6NLw09EwE0CqkOc4q9oUmW1yo/edit?usp=sharing"",""เพชรบูรณ์!J22"")"),0)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IFERROR(__xludf.DUMMYFUNCTION("IMPORTRANGE(""https://docs.google.com/spreadsheets/d/11923uPwbBZFjjGgGUA6NLw09EwE0CqkOc4q9oUmW1yo/edit?usp=sharing"",""เพชรบูรณ์!I23"")"),0)</f>
        <v>0</v>
      </c>
      <c r="J83" s="203">
        <f ca="1">IFERROR(__xludf.DUMMYFUNCTION("IMPORTRANGE(""https://docs.google.com/spreadsheets/d/11923uPwbBZFjjGgGUA6NLw09EwE0CqkOc4q9oUmW1yo/edit?usp=sharing"",""เพชรบูรณ์!J23"")"),0)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IFERROR(__xludf.DUMMYFUNCTION("IMPORTRANGE(""https://docs.google.com/spreadsheets/d/11923uPwbBZFjjGgGUA6NLw09EwE0CqkOc4q9oUmW1yo/edit?usp=sharing"",""เพชรบูรณ์!I24"")"),1)</f>
        <v>1</v>
      </c>
      <c r="J84" s="188">
        <f ca="1">IFERROR(__xludf.DUMMYFUNCTION("IMPORTRANGE(""https://docs.google.com/spreadsheets/d/11923uPwbBZFjjGgGUA6NLw09EwE0CqkOc4q9oUmW1yo/edit?usp=sharing"",""เพชรบูรณ์!J24"")"),1)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IFERROR(__xludf.DUMMYFUNCTION("IMPORTRANGE(""https://docs.google.com/spreadsheets/d/11923uPwbBZFjjGgGUA6NLw09EwE0CqkOc4q9oUmW1yo/edit?usp=sharing"",""เพชรบูรณ์!I25"")"),35)</f>
        <v>35</v>
      </c>
      <c r="J85" s="188">
        <f ca="1">IFERROR(__xludf.DUMMYFUNCTION("IMPORTRANGE(""https://docs.google.com/spreadsheets/d/11923uPwbBZFjjGgGUA6NLw09EwE0CqkOc4q9oUmW1yo/edit?usp=sharing"",""เพชรบูรณ์!J25"")"),35)</f>
        <v>35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IFERROR(__xludf.DUMMYFUNCTION("IMPORTRANGE(""https://docs.google.com/spreadsheets/d/11923uPwbBZFjjGgGUA6NLw09EwE0CqkOc4q9oUmW1yo/edit?usp=sharing"",""เพชรบูรณ์!I26"")"),0)</f>
        <v>0</v>
      </c>
      <c r="J86" s="203">
        <f ca="1">IFERROR(__xludf.DUMMYFUNCTION("IMPORTRANGE(""https://docs.google.com/spreadsheets/d/11923uPwbBZFjjGgGUA6NLw09EwE0CqkOc4q9oUmW1yo/edit?usp=sharing"",""เพชรบูรณ์!J26"")"),0)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IFERROR(__xludf.DUMMYFUNCTION("IMPORTRANGE(""https://docs.google.com/spreadsheets/d/11923uPwbBZFjjGgGUA6NLw09EwE0CqkOc4q9oUmW1yo/edit?usp=sharing"",""เพชรบูรณ์!I27"")"),0)</f>
        <v>0</v>
      </c>
      <c r="J87" s="203">
        <f ca="1">IFERROR(__xludf.DUMMYFUNCTION("IMPORTRANGE(""https://docs.google.com/spreadsheets/d/11923uPwbBZFjjGgGUA6NLw09EwE0CqkOc4q9oUmW1yo/edit?usp=sharing"",""เพชรบูรณ์!J27"")"),0)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IFERROR(__xludf.DUMMYFUNCTION("IMPORTRANGE(""https://docs.google.com/spreadsheets/d/11923uPwbBZFjjGgGUA6NLw09EwE0CqkOc4q9oUmW1yo/edit?usp=sharing"",""เพชรบูรณ์!I28"")"),1)</f>
        <v>1</v>
      </c>
      <c r="J88" s="203">
        <f ca="1">IFERROR(__xludf.DUMMYFUNCTION("IMPORTRANGE(""https://docs.google.com/spreadsheets/d/11923uPwbBZFjjGgGUA6NLw09EwE0CqkOc4q9oUmW1yo/edit?usp=sharing"",""เพชรบูรณ์!J28"")"),0)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IFERROR(__xludf.DUMMYFUNCTION("IMPORTRANGE(""https://docs.google.com/spreadsheets/d/11923uPwbBZFjjGgGUA6NLw09EwE0CqkOc4q9oUmW1yo/edit?usp=sharing"",""เพชรบูรณ์!J29"")"),0)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IFERROR(__xludf.DUMMYFUNCTION("IMPORTRANGE(""https://docs.google.com/spreadsheets/d/11923uPwbBZFjjGgGUA6NLw09EwE0CqkOc4q9oUmW1yo/edit?usp=sharing"",""เพชรบูรณ์!J30"")"),0)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IFERROR(__xludf.DUMMYFUNCTION("IMPORTRANGE(""https://docs.google.com/spreadsheets/d/11923uPwbBZFjjGgGUA6NLw09EwE0CqkOc4q9oUmW1yo/edit?usp=sharing"",""เพชรบูรณ์!I32"")"),0)</f>
        <v>0</v>
      </c>
      <c r="J92" s="142">
        <f ca="1">IFERROR(__xludf.DUMMYFUNCTION("IMPORTRANGE(""https://docs.google.com/spreadsheets/d/11923uPwbBZFjjGgGUA6NLw09EwE0CqkOc4q9oUmW1yo/edit?usp=sharing"",""เพชรบูรณ์!J32"")"),0)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IFERROR(__xludf.DUMMYFUNCTION("IMPORTRANGE(""https://docs.google.com/spreadsheets/d/11923uPwbBZFjjGgGUA6NLw09EwE0CqkOc4q9oUmW1yo/edit?usp=sharing"",""เพชรบูรณ์!I33"")"),0)</f>
        <v>0</v>
      </c>
      <c r="J93" s="142">
        <f ca="1">IFERROR(__xludf.DUMMYFUNCTION("IMPORTRANGE(""https://docs.google.com/spreadsheets/d/11923uPwbBZFjjGgGUA6NLw09EwE0CqkOc4q9oUmW1yo/edit?usp=sharing"",""เพชรบูรณ์!J33"")"),0)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IFERROR(__xludf.DUMMYFUNCTION("IMPORTRANGE(""https://docs.google.com/spreadsheets/d/1Yj_ptqi66GCucihVvJfMjLAmec39IyEx_6qawtMGysU/edit?usp=sharing"",""สบก!AR29"")"),0)</f>
        <v>0</v>
      </c>
      <c r="N98" s="168">
        <f ca="1">IFERROR(__xludf.DUMMYFUNCTION("IMPORTRANGE(""https://docs.google.com/spreadsheets/d/1Yj_ptqi66GCucihVvJfMjLAmec39IyEx_6qawtMGysU/edit?usp=sharing"",""สบก!AS29"")"),0)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IFERROR(__xludf.DUMMYFUNCTION("IMPORTRANGE(""https://docs.google.com/spreadsheets/d/1Yj_ptqi66GCucihVvJfMjLAmec39IyEx_6qawtMGysU/edit?usp=sharing"",""สบก!AN29"")"),0)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IFERROR(__xludf.DUMMYFUNCTION("IMPORTRANGE(""https://docs.google.com/spreadsheets/d/1Yj_ptqi66GCucihVvJfMjLAmec39IyEx_6qawtMGysU/edit?usp=sharing"",""สบก!AO29"")"),0)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IFERROR(__xludf.DUMMYFUNCTION("IMPORTRANGE(""https://docs.google.com/spreadsheets/d/1Yj_ptqi66GCucihVvJfMjLAmec39IyEx_6qawtMGysU/edit?usp=sharing"",""สบก!AP29"")"),0)</f>
        <v>0</v>
      </c>
      <c r="M102" s="50"/>
      <c r="N102" s="50">
        <f ca="1">IFERROR(__xludf.DUMMYFUNCTION("IMPORTRANGE(""https://docs.google.com/spreadsheets/d/1Yj_ptqi66GCucihVvJfMjLAmec39IyEx_6qawtMGysU/edit?usp=sharing"",""สบก!AT29"")"),0)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IFERROR(__xludf.DUMMYFUNCTION("IMPORTRANGE(""https://docs.google.com/spreadsheets/d/11923uPwbBZFjjGgGUA6NLw09EwE0CqkOc4q9oUmW1yo/edit?usp=sharing"",""เพชรบูรณ์!J39"")"),0)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IFERROR(__xludf.DUMMYFUNCTION("IMPORTRANGE(""https://docs.google.com/spreadsheets/d/11923uPwbBZFjjGgGUA6NLw09EwE0CqkOc4q9oUmW1yo/edit?usp=sharing"",""เพชรบูรณ์!J40"")"),0)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IFERROR(__xludf.DUMMYFUNCTION("IMPORTRANGE(""https://docs.google.com/spreadsheets/d/11923uPwbBZFjjGgGUA6NLw09EwE0CqkOc4q9oUmW1yo/edit?usp=sharing"",""เพชรบูรณ์!J41"")"),0)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IFERROR(__xludf.DUMMYFUNCTION("IMPORTRANGE(""https://docs.google.com/spreadsheets/d/11923uPwbBZFjjGgGUA6NLw09EwE0CqkOc4q9oUmW1yo/edit?usp=sharing"",""เพชรบูรณ์!J42"")"),0)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IFERROR(__xludf.DUMMYFUNCTION("IMPORTRANGE(""https://docs.google.com/spreadsheets/d/11923uPwbBZFjjGgGUA6NLw09EwE0CqkOc4q9oUmW1yo/edit?usp=sharing"",""เพชรบูรณ์!I43"")"),0)</f>
        <v>0</v>
      </c>
      <c r="J108" s="203">
        <f ca="1">IFERROR(__xludf.DUMMYFUNCTION("IMPORTRANGE(""https://docs.google.com/spreadsheets/d/11923uPwbBZFjjGgGUA6NLw09EwE0CqkOc4q9oUmW1yo/edit?usp=sharing"",""เพชรบูรณ์!J43"")"),0)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IFERROR(__xludf.DUMMYFUNCTION("IMPORTRANGE(""https://docs.google.com/spreadsheets/d/11923uPwbBZFjjGgGUA6NLw09EwE0CqkOc4q9oUmW1yo/edit?usp=sharing"",""เพชรบูรณ์!I44"")"),0)</f>
        <v>0</v>
      </c>
      <c r="J109" s="203">
        <f ca="1">IFERROR(__xludf.DUMMYFUNCTION("IMPORTRANGE(""https://docs.google.com/spreadsheets/d/11923uPwbBZFjjGgGUA6NLw09EwE0CqkOc4q9oUmW1yo/edit?usp=sharing"",""เพชรบูรณ์!J44"")"),0)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IFERROR(__xludf.DUMMYFUNCTION("IMPORTRANGE(""https://docs.google.com/spreadsheets/d/11923uPwbBZFjjGgGUA6NLw09EwE0CqkOc4q9oUmW1yo/edit?usp=sharing"",""เพชรบูรณ์!I45"")"),0)</f>
        <v>0</v>
      </c>
      <c r="J110" s="203">
        <f ca="1">IFERROR(__xludf.DUMMYFUNCTION("IMPORTRANGE(""https://docs.google.com/spreadsheets/d/11923uPwbBZFjjGgGUA6NLw09EwE0CqkOc4q9oUmW1yo/edit?usp=sharing"",""เพชรบูรณ์!J45"")"),0)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IFERROR(__xludf.DUMMYFUNCTION("IMPORTRANGE(""https://docs.google.com/spreadsheets/d/11923uPwbBZFjjGgGUA6NLw09EwE0CqkOc4q9oUmW1yo/edit?usp=sharing"",""เพชรบูรณ์!I46"")"),0)</f>
        <v>0</v>
      </c>
      <c r="J111" s="203">
        <f ca="1">IFERROR(__xludf.DUMMYFUNCTION("IMPORTRANGE(""https://docs.google.com/spreadsheets/d/11923uPwbBZFjjGgGUA6NLw09EwE0CqkOc4q9oUmW1yo/edit?usp=sharing"",""เพชรบูรณ์!J46"")"),0)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IFERROR(__xludf.DUMMYFUNCTION("IMPORTRANGE(""https://docs.google.com/spreadsheets/d/11923uPwbBZFjjGgGUA6NLw09EwE0CqkOc4q9oUmW1yo/edit?usp=sharing"",""เพชรบูรณ์!I47"")"),0)</f>
        <v>0</v>
      </c>
      <c r="J112" s="203">
        <f ca="1">IFERROR(__xludf.DUMMYFUNCTION("IMPORTRANGE(""https://docs.google.com/spreadsheets/d/11923uPwbBZFjjGgGUA6NLw09EwE0CqkOc4q9oUmW1yo/edit?usp=sharing"",""เพชรบูรณ์!J47"")"),0)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IFERROR(__xludf.DUMMYFUNCTION("IMPORTRANGE(""https://docs.google.com/spreadsheets/d/11923uPwbBZFjjGgGUA6NLw09EwE0CqkOc4q9oUmW1yo/edit?usp=sharing"",""เพชรบูรณ์!I48"")"),0)</f>
        <v>0</v>
      </c>
      <c r="J113" s="203">
        <f ca="1">IFERROR(__xludf.DUMMYFUNCTION("IMPORTRANGE(""https://docs.google.com/spreadsheets/d/11923uPwbBZFjjGgGUA6NLw09EwE0CqkOc4q9oUmW1yo/edit?usp=sharing"",""เพชรบูรณ์!J48"")"),0)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IFERROR(__xludf.DUMMYFUNCTION("IMPORTRANGE(""https://docs.google.com/spreadsheets/d/11923uPwbBZFjjGgGUA6NLw09EwE0CqkOc4q9oUmW1yo/edit?usp=sharing"",""เพชรบูรณ์!J49"")"),0)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IFERROR(__xludf.DUMMYFUNCTION("IMPORTRANGE(""https://docs.google.com/spreadsheets/d/11923uPwbBZFjjGgGUA6NLw09EwE0CqkOc4q9oUmW1yo/edit?usp=sharing"",""เพชรบูรณ์!J50"")"),0)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IFERROR(__xludf.DUMMYFUNCTION("IMPORTRANGE(""https://docs.google.com/spreadsheets/d/11923uPwbBZFjjGgGUA6NLw09EwE0CqkOc4q9oUmW1yo/edit?usp=sharing"",""เพชรบูรณ์!I52"")"),20)</f>
        <v>20</v>
      </c>
      <c r="J117" s="142">
        <f ca="1">IFERROR(__xludf.DUMMYFUNCTION("IMPORTRANGE(""https://docs.google.com/spreadsheets/d/11923uPwbBZFjjGgGUA6NLw09EwE0CqkOc4q9oUmW1yo/edit?usp=sharing"",""เพชรบูรณ์!J52"")"),20)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87410</v>
      </c>
      <c r="N118" s="152">
        <f t="shared" ca="1" si="58"/>
        <v>78278</v>
      </c>
      <c r="O118" s="151">
        <f t="shared" ref="O118:O120" ca="1" si="59">IF(L118&gt;0,N118*100/L118,0)</f>
        <v>94.951479864143622</v>
      </c>
      <c r="P118" s="151">
        <f t="shared" ref="P118:P120" ca="1" si="60">IF(M118&gt;0,N118*100/M118,0)</f>
        <v>89.552682759409677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87410</v>
      </c>
      <c r="N120" s="88">
        <f t="shared" ca="1" si="62"/>
        <v>78278</v>
      </c>
      <c r="O120" s="156">
        <f t="shared" ca="1" si="59"/>
        <v>94.951479864143622</v>
      </c>
      <c r="P120" s="156">
        <f t="shared" ca="1" si="60"/>
        <v>89.552682759409677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IFERROR(__xludf.DUMMYFUNCTION("IMPORTRANGE(""https://docs.google.com/spreadsheets/d/1Yj_ptqi66GCucihVvJfMjLAmec39IyEx_6qawtMGysU/edit?usp=sharing"",""สบก!BA29"")"),87410)</f>
        <v>87410</v>
      </c>
      <c r="N122" s="168">
        <f ca="1">IFERROR(__xludf.DUMMYFUNCTION("IMPORTRANGE(""https://docs.google.com/spreadsheets/d/1Yj_ptqi66GCucihVvJfMjLAmec39IyEx_6qawtMGysU/edit?usp=sharing"",""สบก!BB29"")"),78278)</f>
        <v>78278</v>
      </c>
      <c r="O122" s="168">
        <f ca="1">IF(L122&gt;0,N122*100/L122,0)</f>
        <v>94.951479864143622</v>
      </c>
      <c r="P122" s="168">
        <f ca="1">IF(M122&gt;0,N122*100/M122,0)</f>
        <v>89.552682759409677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IFERROR(__xludf.DUMMYFUNCTION("IMPORTRANGE(""https://docs.google.com/spreadsheets/d/1Yj_ptqi66GCucihVvJfMjLAmec39IyEx_6qawtMGysU/edit?usp=sharing"",""สบก!AW29"")"),0)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IFERROR(__xludf.DUMMYFUNCTION("IMPORTRANGE(""https://docs.google.com/spreadsheets/d/1Yj_ptqi66GCucihVvJfMjLAmec39IyEx_6qawtMGysU/edit?usp=sharing"",""สบก!AX29"")"),82440)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IFERROR(__xludf.DUMMYFUNCTION("IMPORTRANGE(""https://docs.google.com/spreadsheets/d/1Yj_ptqi66GCucihVvJfMjLAmec39IyEx_6qawtMGysU/edit?usp=sharing"",""สบก!AY29"")"),0)</f>
        <v>0</v>
      </c>
      <c r="M126" s="50"/>
      <c r="N126" s="50">
        <f ca="1">IFERROR(__xludf.DUMMYFUNCTION("IMPORTRANGE(""https://docs.google.com/spreadsheets/d/1Yj_ptqi66GCucihVvJfMjLAmec39IyEx_6qawtMGysU/edit?usp=sharing"",""สบก!BC29"")"),0)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IFERROR(__xludf.DUMMYFUNCTION("IMPORTRANGE(""https://docs.google.com/spreadsheets/d/11923uPwbBZFjjGgGUA6NLw09EwE0CqkOc4q9oUmW1yo/edit?usp=sharing"",""เพชรบูรณ์!J58"")"),0)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IFERROR(__xludf.DUMMYFUNCTION("IMPORTRANGE(""https://docs.google.com/spreadsheets/d/11923uPwbBZFjjGgGUA6NLw09EwE0CqkOc4q9oUmW1yo/edit?usp=sharing"",""เพชรบูรณ์!J59"")"),1)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IFERROR(__xludf.DUMMYFUNCTION("IMPORTRANGE(""https://docs.google.com/spreadsheets/d/11923uPwbBZFjjGgGUA6NLw09EwE0CqkOc4q9oUmW1yo/edit?usp=sharing"",""เพชรบูรณ์!J60"")"),1)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IFERROR(__xludf.DUMMYFUNCTION("IMPORTRANGE(""https://docs.google.com/spreadsheets/d/11923uPwbBZFjjGgGUA6NLw09EwE0CqkOc4q9oUmW1yo/edit?usp=sharing"",""เพชรบูรณ์!J61"")"),0)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IFERROR(__xludf.DUMMYFUNCTION("IMPORTRANGE(""https://docs.google.com/spreadsheets/d/11923uPwbBZFjjGgGUA6NLw09EwE0CqkOc4q9oUmW1yo/edit?usp=sharing"",""เพชรบูรณ์!I62"")"),20)</f>
        <v>20</v>
      </c>
      <c r="J132" s="203">
        <f ca="1">IFERROR(__xludf.DUMMYFUNCTION("IMPORTRANGE(""https://docs.google.com/spreadsheets/d/11923uPwbBZFjjGgGUA6NLw09EwE0CqkOc4q9oUmW1yo/edit?usp=sharing"",""เพชรบูรณ์!J62"")"),20)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IFERROR(__xludf.DUMMYFUNCTION("IMPORTRANGE(""https://docs.google.com/spreadsheets/d/11923uPwbBZFjjGgGUA6NLw09EwE0CqkOc4q9oUmW1yo/edit?usp=sharing"",""เพชรบูรณ์!I63"")"),20)</f>
        <v>20</v>
      </c>
      <c r="J133" s="203">
        <f ca="1">IFERROR(__xludf.DUMMYFUNCTION("IMPORTRANGE(""https://docs.google.com/spreadsheets/d/11923uPwbBZFjjGgGUA6NLw09EwE0CqkOc4q9oUmW1yo/edit?usp=sharing"",""เพชรบูรณ์!J63"")"),20)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IFERROR(__xludf.DUMMYFUNCTION("IMPORTRANGE(""https://docs.google.com/spreadsheets/d/11923uPwbBZFjjGgGUA6NLw09EwE0CqkOc4q9oUmW1yo/edit?usp=sharing"",""เพชรบูรณ์!J64"")"),0)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IFERROR(__xludf.DUMMYFUNCTION("IMPORTRANGE(""https://docs.google.com/spreadsheets/d/11923uPwbBZFjjGgGUA6NLw09EwE0CqkOc4q9oUmW1yo/edit?usp=sharing"",""เพชรบูรณ์!J65"")"),0)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IFERROR(__xludf.DUMMYFUNCTION("IMPORTRANGE(""https://docs.google.com/spreadsheets/d/11923uPwbBZFjjGgGUA6NLw09EwE0CqkOc4q9oUmW1yo/edit?usp=sharing"",""เพชรบูรณ์!I68"")"),15)</f>
        <v>15</v>
      </c>
      <c r="J138" s="267">
        <f ca="1">IFERROR(__xludf.DUMMYFUNCTION("IMPORTRANGE(""https://docs.google.com/spreadsheets/d/11923uPwbBZFjjGgGUA6NLw09EwE0CqkOc4q9oUmW1yo/edit?usp=sharing"",""เพชรบูรณ์!J68"")"),15)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254700</v>
      </c>
      <c r="M140" s="152">
        <f t="shared" ca="1" si="64"/>
        <v>310300</v>
      </c>
      <c r="N140" s="152">
        <f t="shared" ca="1" si="64"/>
        <v>243160</v>
      </c>
      <c r="O140" s="151">
        <f t="shared" ref="O140:O142" ca="1" si="65">IF(L140&gt;0,N140*100/L140,0)</f>
        <v>95.469179426776606</v>
      </c>
      <c r="P140" s="151">
        <f t="shared" ref="P140:P142" ca="1" si="66">IF(M140&gt;0,N140*100/M140,0)</f>
        <v>78.362874637447632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254700</v>
      </c>
      <c r="M142" s="88">
        <f t="shared" ca="1" si="68"/>
        <v>310300</v>
      </c>
      <c r="N142" s="88">
        <f t="shared" ca="1" si="68"/>
        <v>243160</v>
      </c>
      <c r="O142" s="156">
        <f t="shared" ca="1" si="65"/>
        <v>95.469179426776606</v>
      </c>
      <c r="P142" s="156">
        <f t="shared" ca="1" si="66"/>
        <v>78.362874637447632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254700</v>
      </c>
      <c r="M144" s="167">
        <f ca="1">IFERROR(__xludf.DUMMYFUNCTION("IMPORTRANGE(""https://docs.google.com/spreadsheets/d/1Yj_ptqi66GCucihVvJfMjLAmec39IyEx_6qawtMGysU/edit?usp=sharing"",""สบก!BJ29"")"),310300)</f>
        <v>310300</v>
      </c>
      <c r="N144" s="168">
        <f ca="1">IFERROR(__xludf.DUMMYFUNCTION("IMPORTRANGE(""https://docs.google.com/spreadsheets/d/1Yj_ptqi66GCucihVvJfMjLAmec39IyEx_6qawtMGysU/edit?usp=sharing"",""สบก!BK29"")"),243160)</f>
        <v>243160</v>
      </c>
      <c r="O144" s="168">
        <f ca="1">IF(L144&gt;0,N144*100/L144,0)</f>
        <v>95.469179426776606</v>
      </c>
      <c r="P144" s="168">
        <f ca="1">IF(M144&gt;0,N144*100/M144,0)</f>
        <v>78.362874637447632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IFERROR(__xludf.DUMMYFUNCTION("IMPORTRANGE(""https://docs.google.com/spreadsheets/d/1Yj_ptqi66GCucihVvJfMjLAmec39IyEx_6qawtMGysU/edit?usp=sharing"",""สบก!BF29"")"),132000)</f>
        <v>132000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IFERROR(__xludf.DUMMYFUNCTION("IMPORTRANGE(""https://docs.google.com/spreadsheets/d/1Yj_ptqi66GCucihVvJfMjLAmec39IyEx_6qawtMGysU/edit?usp=sharing"",""สบก!BG29"")"),122700)</f>
        <v>122700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IFERROR(__xludf.DUMMYFUNCTION("IMPORTRANGE(""https://docs.google.com/spreadsheets/d/1Yj_ptqi66GCucihVvJfMjLAmec39IyEx_6qawtMGysU/edit?usp=sharing"",""สบก!BH29"")"),0)</f>
        <v>0</v>
      </c>
      <c r="M148" s="50"/>
      <c r="N148" s="50">
        <f ca="1">IFERROR(__xludf.DUMMYFUNCTION("IMPORTRANGE(""https://docs.google.com/spreadsheets/d/1Yj_ptqi66GCucihVvJfMjLAmec39IyEx_6qawtMGysU/edit?usp=sharing"",""สบก!BL29"")"),0)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IFERROR(__xludf.DUMMYFUNCTION("IMPORTRANGE(""https://docs.google.com/spreadsheets/d/11923uPwbBZFjjGgGUA6NLw09EwE0CqkOc4q9oUmW1yo/edit?usp=sharing"",""เพชรบูรณ์!I74"")"),4)</f>
        <v>4</v>
      </c>
      <c r="J149" s="275">
        <f ca="1">IFERROR(__xludf.DUMMYFUNCTION("IMPORTRANGE(""https://docs.google.com/spreadsheets/d/11923uPwbBZFjjGgGUA6NLw09EwE0CqkOc4q9oUmW1yo/edit?usp=sharing"",""เพชรบูรณ์!J74"")"),3)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IFERROR(__xludf.DUMMYFUNCTION("IMPORTRANGE(""https://docs.google.com/spreadsheets/d/11923uPwbBZFjjGgGUA6NLw09EwE0CqkOc4q9oUmW1yo/edit?usp=sharing"",""เพชรบูรณ์!J79"")"),0)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IFERROR(__xludf.DUMMYFUNCTION("IMPORTRANGE(""https://docs.google.com/spreadsheets/d/11923uPwbBZFjjGgGUA6NLw09EwE0CqkOc4q9oUmW1yo/edit?usp=sharing"",""เพชรบูรณ์!J80"")"),1)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IFERROR(__xludf.DUMMYFUNCTION("IMPORTRANGE(""https://docs.google.com/spreadsheets/d/11923uPwbBZFjjGgGUA6NLw09EwE0CqkOc4q9oUmW1yo/edit?usp=sharing"",""เพชรบูรณ์!J81"")"),1)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IFERROR(__xludf.DUMMYFUNCTION("IMPORTRANGE(""https://docs.google.com/spreadsheets/d/11923uPwbBZFjjGgGUA6NLw09EwE0CqkOc4q9oUmW1yo/edit?usp=sharing"",""เพชรบูรณ์!J82"")"),1)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IFERROR(__xludf.DUMMYFUNCTION("IMPORTRANGE(""https://docs.google.com/spreadsheets/d/11923uPwbBZFjjGgGUA6NLw09EwE0CqkOc4q9oUmW1yo/edit?usp=sharing"",""เพชรบูรณ์!I83"")"),4)</f>
        <v>4</v>
      </c>
      <c r="J158" s="188">
        <f ca="1">IFERROR(__xludf.DUMMYFUNCTION("IMPORTRANGE(""https://docs.google.com/spreadsheets/d/11923uPwbBZFjjGgGUA6NLw09EwE0CqkOc4q9oUmW1yo/edit?usp=sharing"",""เพชรบูรณ์!J83"")"),3)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IFERROR(__xludf.DUMMYFUNCTION("IMPORTRANGE(""https://docs.google.com/spreadsheets/d/11923uPwbBZFjjGgGUA6NLw09EwE0CqkOc4q9oUmW1yo/edit?usp=sharing"",""เพชรบูรณ์!J84"")"),178)</f>
        <v>178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IFERROR(__xludf.DUMMYFUNCTION("IMPORTRANGE(""https://docs.google.com/spreadsheets/d/11923uPwbBZFjjGgGUA6NLw09EwE0CqkOc4q9oUmW1yo/edit?usp=sharing"",""เพชรบูรณ์!J85"")"),178)</f>
        <v>178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IFERROR(__xludf.DUMMYFUNCTION("IMPORTRANGE(""https://docs.google.com/spreadsheets/d/11923uPwbBZFjjGgGUA6NLw09EwE0CqkOc4q9oUmW1yo/edit?usp=sharing"",""เพชรบูรณ์!J86"")"),0)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IFERROR(__xludf.DUMMYFUNCTION("IMPORTRANGE(""https://docs.google.com/spreadsheets/d/11923uPwbBZFjjGgGUA6NLw09EwE0CqkOc4q9oUmW1yo/edit?usp=sharing"",""เพชรบูรณ์!J87"")"),0)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IFERROR(__xludf.DUMMYFUNCTION("IMPORTRANGE(""https://docs.google.com/spreadsheets/d/11923uPwbBZFjjGgGUA6NLw09EwE0CqkOc4q9oUmW1yo/edit?usp=sharing"",""เพชรบูรณ์!J88"")"),0)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IFERROR(__xludf.DUMMYFUNCTION("IMPORTRANGE(""https://docs.google.com/spreadsheets/d/11923uPwbBZFjjGgGUA6NLw09EwE0CqkOc4q9oUmW1yo/edit?usp=sharing"",""เพชรบูรณ์!I89"")"),2)</f>
        <v>2</v>
      </c>
      <c r="J164" s="284">
        <f ca="1">IFERROR(__xludf.DUMMYFUNCTION("IMPORTRANGE(""https://docs.google.com/spreadsheets/d/11923uPwbBZFjjGgGUA6NLw09EwE0CqkOc4q9oUmW1yo/edit?usp=sharing"",""เพชรบูรณ์!J89"")"),2)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IFERROR(__xludf.DUMMYFUNCTION("IMPORTRANGE(""https://docs.google.com/spreadsheets/d/11923uPwbBZFjjGgGUA6NLw09EwE0CqkOc4q9oUmW1yo/edit?usp=sharing"",""เพชรบูรณ์!J94"")"),0)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IFERROR(__xludf.DUMMYFUNCTION("IMPORTRANGE(""https://docs.google.com/spreadsheets/d/11923uPwbBZFjjGgGUA6NLw09EwE0CqkOc4q9oUmW1yo/edit?usp=sharing"",""เพชรบูรณ์!J95"")"),0)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IFERROR(__xludf.DUMMYFUNCTION("IMPORTRANGE(""https://docs.google.com/spreadsheets/d/11923uPwbBZFjjGgGUA6NLw09EwE0CqkOc4q9oUmW1yo/edit?usp=sharing"",""เพชรบูรณ์!J96"")"),0)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IFERROR(__xludf.DUMMYFUNCTION("IMPORTRANGE(""https://docs.google.com/spreadsheets/d/11923uPwbBZFjjGgGUA6NLw09EwE0CqkOc4q9oUmW1yo/edit?usp=sharing"",""เพชรบูรณ์!J97"")"),0)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IFERROR(__xludf.DUMMYFUNCTION("IMPORTRANGE(""https://docs.google.com/spreadsheets/d/11923uPwbBZFjjGgGUA6NLw09EwE0CqkOc4q9oUmW1yo/edit?usp=sharing"",""เพชรบูรณ์!I98"")"),2)</f>
        <v>2</v>
      </c>
      <c r="J173" s="188">
        <f ca="1">IFERROR(__xludf.DUMMYFUNCTION("IMPORTRANGE(""https://docs.google.com/spreadsheets/d/11923uPwbBZFjjGgGUA6NLw09EwE0CqkOc4q9oUmW1yo/edit?usp=sharing"",""เพชรบูรณ์!J98"")"),2)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IFERROR(__xludf.DUMMYFUNCTION("IMPORTRANGE(""https://docs.google.com/spreadsheets/d/11923uPwbBZFjjGgGUA6NLw09EwE0CqkOc4q9oUmW1yo/edit?usp=sharing"",""เพชรบูรณ์!J99"")"),0)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IFERROR(__xludf.DUMMYFUNCTION("IMPORTRANGE(""https://docs.google.com/spreadsheets/d/11923uPwbBZFjjGgGUA6NLw09EwE0CqkOc4q9oUmW1yo/edit?usp=sharing"",""เพชรบูรณ์!J100"")"),1)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IFERROR(__xludf.DUMMYFUNCTION("IMPORTRANGE(""https://docs.google.com/spreadsheets/d/11923uPwbBZFjjGgGUA6NLw09EwE0CqkOc4q9oUmW1yo/edit?usp=sharing"",""เพชรบูรณ์!I101"")"),2)</f>
        <v>2</v>
      </c>
      <c r="J176" s="284">
        <f ca="1">IFERROR(__xludf.DUMMYFUNCTION("IMPORTRANGE(""https://docs.google.com/spreadsheets/d/11923uPwbBZFjjGgGUA6NLw09EwE0CqkOc4q9oUmW1yo/edit?usp=sharing"",""เพชรบูรณ์!J101"")"),2)</f>
        <v>2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IFERROR(__xludf.DUMMYFUNCTION("IMPORTRANGE(""https://docs.google.com/spreadsheets/d/11923uPwbBZFjjGgGUA6NLw09EwE0CqkOc4q9oUmW1yo/edit?usp=sharing"",""เพชรบูรณ์!J106"")"),0)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IFERROR(__xludf.DUMMYFUNCTION("IMPORTRANGE(""https://docs.google.com/spreadsheets/d/11923uPwbBZFjjGgGUA6NLw09EwE0CqkOc4q9oUmW1yo/edit?usp=sharing"",""เพชรบูรณ์!J107"")"),0)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IFERROR(__xludf.DUMMYFUNCTION("IMPORTRANGE(""https://docs.google.com/spreadsheets/d/11923uPwbBZFjjGgGUA6NLw09EwE0CqkOc4q9oUmW1yo/edit?usp=sharing"",""เพชรบูรณ์!J108"")"),0)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IFERROR(__xludf.DUMMYFUNCTION("IMPORTRANGE(""https://docs.google.com/spreadsheets/d/11923uPwbBZFjjGgGUA6NLw09EwE0CqkOc4q9oUmW1yo/edit?usp=sharing"",""เพชรบูรณ์!J109"")"),0)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IFERROR(__xludf.DUMMYFUNCTION("IMPORTRANGE(""https://docs.google.com/spreadsheets/d/11923uPwbBZFjjGgGUA6NLw09EwE0CqkOc4q9oUmW1yo/edit?usp=sharing"",""เพชรบูรณ์!I110"")"),2)</f>
        <v>2</v>
      </c>
      <c r="J185" s="203">
        <f ca="1">IFERROR(__xludf.DUMMYFUNCTION("IMPORTRANGE(""https://docs.google.com/spreadsheets/d/11923uPwbBZFjjGgGUA6NLw09EwE0CqkOc4q9oUmW1yo/edit?usp=sharing"",""เพชรบูรณ์!J110"")"),2)</f>
        <v>2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IFERROR(__xludf.DUMMYFUNCTION("IMPORTRANGE(""https://docs.google.com/spreadsheets/d/11923uPwbBZFjjGgGUA6NLw09EwE0CqkOc4q9oUmW1yo/edit?usp=sharing"",""เพชรบูรณ์!I111"")"),2)</f>
        <v>2</v>
      </c>
      <c r="J186" s="203">
        <f ca="1">IFERROR(__xludf.DUMMYFUNCTION("IMPORTRANGE(""https://docs.google.com/spreadsheets/d/11923uPwbBZFjjGgGUA6NLw09EwE0CqkOc4q9oUmW1yo/edit?usp=sharing"",""เพชรบูรณ์!J111"")"),2)</f>
        <v>2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IFERROR(__xludf.DUMMYFUNCTION("IMPORTRANGE(""https://docs.google.com/spreadsheets/d/11923uPwbBZFjjGgGUA6NLw09EwE0CqkOc4q9oUmW1yo/edit?usp=sharing"",""เพชรบูรณ์!J112"")"),0)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IFERROR(__xludf.DUMMYFUNCTION("IMPORTRANGE(""https://docs.google.com/spreadsheets/d/11923uPwbBZFjjGgGUA6NLw09EwE0CqkOc4q9oUmW1yo/edit?usp=sharing"",""เพชรบูรณ์!J113"")"),1)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IFERROR(__xludf.DUMMYFUNCTION("IMPORTRANGE(""https://docs.google.com/spreadsheets/d/11923uPwbBZFjjGgGUA6NLw09EwE0CqkOc4q9oUmW1yo/edit?usp=sharing"",""เพชรบูรณ์!I114"")"),128000)</f>
        <v>128000</v>
      </c>
      <c r="J189" s="284">
        <f ca="1">IFERROR(__xludf.DUMMYFUNCTION("IMPORTRANGE(""https://docs.google.com/spreadsheets/d/11923uPwbBZFjjGgGUA6NLw09EwE0CqkOc4q9oUmW1yo/edit?usp=sharing"",""เพชรบูรณ์!J114"")"),0)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IFERROR(__xludf.DUMMYFUNCTION("IMPORTRANGE(""https://docs.google.com/spreadsheets/d/11923uPwbBZFjjGgGUA6NLw09EwE0CqkOc4q9oUmW1yo/edit?usp=sharing"",""เพชรบูรณ์!J119"")"),0)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IFERROR(__xludf.DUMMYFUNCTION("IMPORTRANGE(""https://docs.google.com/spreadsheets/d/11923uPwbBZFjjGgGUA6NLw09EwE0CqkOc4q9oUmW1yo/edit?usp=sharing"",""เพชรบูรณ์!J120"")"),1)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IFERROR(__xludf.DUMMYFUNCTION("IMPORTRANGE(""https://docs.google.com/spreadsheets/d/11923uPwbBZFjjGgGUA6NLw09EwE0CqkOc4q9oUmW1yo/edit?usp=sharing"",""เพชรบูรณ์!J121"")"),1)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IFERROR(__xludf.DUMMYFUNCTION("IMPORTRANGE(""https://docs.google.com/spreadsheets/d/11923uPwbBZFjjGgGUA6NLw09EwE0CqkOc4q9oUmW1yo/edit?usp=sharing"",""เพชรบูรณ์!J122"")"),1)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IFERROR(__xludf.DUMMYFUNCTION("IMPORTRANGE(""https://docs.google.com/spreadsheets/d/11923uPwbBZFjjGgGUA6NLw09EwE0CqkOc4q9oUmW1yo/edit?usp=sharing"",""เพชรบูรณ์!I124"")"),128000)</f>
        <v>128000</v>
      </c>
      <c r="J199" s="188">
        <f ca="1">IFERROR(__xludf.DUMMYFUNCTION("IMPORTRANGE(""https://docs.google.com/spreadsheets/d/11923uPwbBZFjjGgGUA6NLw09EwE0CqkOc4q9oUmW1yo/edit?usp=sharing"",""เพชรบูรณ์!J124"")"),128000)</f>
        <v>128000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IFERROR(__xludf.DUMMYFUNCTION("IMPORTRANGE(""https://docs.google.com/spreadsheets/d/11923uPwbBZFjjGgGUA6NLw09EwE0CqkOc4q9oUmW1yo/edit?usp=sharing"",""เพชรบูรณ์!I125"")"),128000)</f>
        <v>128000</v>
      </c>
      <c r="J200" s="188">
        <f ca="1">IFERROR(__xludf.DUMMYFUNCTION("IMPORTRANGE(""https://docs.google.com/spreadsheets/d/11923uPwbBZFjjGgGUA6NLw09EwE0CqkOc4q9oUmW1yo/edit?usp=sharing"",""เพชรบูรณ์!J125"")"),0)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IFERROR(__xludf.DUMMYFUNCTION("IMPORTRANGE(""https://docs.google.com/spreadsheets/d/11923uPwbBZFjjGgGUA6NLw09EwE0CqkOc4q9oUmW1yo/edit?usp=sharing"",""เพชรบูรณ์!I126"")"),15)</f>
        <v>15</v>
      </c>
      <c r="J201" s="188">
        <f ca="1">IFERROR(__xludf.DUMMYFUNCTION("IMPORTRANGE(""https://docs.google.com/spreadsheets/d/11923uPwbBZFjjGgGUA6NLw09EwE0CqkOc4q9oUmW1yo/edit?usp=sharing"",""เพชรบูรณ์!J126"")"),15)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IFERROR(__xludf.DUMMYFUNCTION("IMPORTRANGE(""https://docs.google.com/spreadsheets/d/11923uPwbBZFjjGgGUA6NLw09EwE0CqkOc4q9oUmW1yo/edit?usp=sharing"",""เพชรบูรณ์!J127"")"),0)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IFERROR(__xludf.DUMMYFUNCTION("IMPORTRANGE(""https://docs.google.com/spreadsheets/d/11923uPwbBZFjjGgGUA6NLw09EwE0CqkOc4q9oUmW1yo/edit?usp=sharing"",""เพชรบูรณ์!J128"")"),0)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IFERROR(__xludf.DUMMYFUNCTION("IMPORTRANGE(""https://docs.google.com/spreadsheets/d/11923uPwbBZFjjGgGUA6NLw09EwE0CqkOc4q9oUmW1yo/edit?usp=sharing"",""เพชรบูรณ์!I129"")"),0)</f>
        <v>0</v>
      </c>
      <c r="J204" s="284">
        <f ca="1">IFERROR(__xludf.DUMMYFUNCTION("IMPORTRANGE(""https://docs.google.com/spreadsheets/d/11923uPwbBZFjjGgGUA6NLw09EwE0CqkOc4q9oUmW1yo/edit?usp=sharing"",""เพชรบูรณ์!J129"")"),0)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IFERROR(__xludf.DUMMYFUNCTION("IMPORTRANGE(""https://docs.google.com/spreadsheets/d/11923uPwbBZFjjGgGUA6NLw09EwE0CqkOc4q9oUmW1yo/edit?usp=sharing"",""เพชรบูรณ์!J134"")"),0)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IFERROR(__xludf.DUMMYFUNCTION("IMPORTRANGE(""https://docs.google.com/spreadsheets/d/11923uPwbBZFjjGgGUA6NLw09EwE0CqkOc4q9oUmW1yo/edit?usp=sharing"",""เพชรบูรณ์!J135"")"),0)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IFERROR(__xludf.DUMMYFUNCTION("IMPORTRANGE(""https://docs.google.com/spreadsheets/d/11923uPwbBZFjjGgGUA6NLw09EwE0CqkOc4q9oUmW1yo/edit?usp=sharing"",""เพชรบูรณ์!J136"")"),0)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IFERROR(__xludf.DUMMYFUNCTION("IMPORTRANGE(""https://docs.google.com/spreadsheets/d/11923uPwbBZFjjGgGUA6NLw09EwE0CqkOc4q9oUmW1yo/edit?usp=sharing"",""เพชรบูรณ์!J137"")"),0)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IFERROR(__xludf.DUMMYFUNCTION("IMPORTRANGE(""https://docs.google.com/spreadsheets/d/11923uPwbBZFjjGgGUA6NLw09EwE0CqkOc4q9oUmW1yo/edit?usp=sharing"",""เพชรบูรณ์!I138"")"),0)</f>
        <v>0</v>
      </c>
      <c r="J213" s="203">
        <f ca="1">IFERROR(__xludf.DUMMYFUNCTION("IMPORTRANGE(""https://docs.google.com/spreadsheets/d/11923uPwbBZFjjGgGUA6NLw09EwE0CqkOc4q9oUmW1yo/edit?usp=sharing"",""เพชรบูรณ์!J138"")"),0)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IFERROR(__xludf.DUMMYFUNCTION("IMPORTRANGE(""https://docs.google.com/spreadsheets/d/11923uPwbBZFjjGgGUA6NLw09EwE0CqkOc4q9oUmW1yo/edit?usp=sharing"",""เพชรบูรณ์!I140"")"),0)</f>
        <v>0</v>
      </c>
      <c r="J215" s="203">
        <f ca="1">IFERROR(__xludf.DUMMYFUNCTION("IMPORTRANGE(""https://docs.google.com/spreadsheets/d/11923uPwbBZFjjGgGUA6NLw09EwE0CqkOc4q9oUmW1yo/edit?usp=sharing"",""เพชรบูรณ์!J140"")"),0)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IFERROR(__xludf.DUMMYFUNCTION("IMPORTRANGE(""https://docs.google.com/spreadsheets/d/11923uPwbBZFjjGgGUA6NLw09EwE0CqkOc4q9oUmW1yo/edit?usp=sharing"",""เพชรบูรณ์!I141"")"),0)</f>
        <v>0</v>
      </c>
      <c r="J216" s="203">
        <f ca="1">IFERROR(__xludf.DUMMYFUNCTION("IMPORTRANGE(""https://docs.google.com/spreadsheets/d/11923uPwbBZFjjGgGUA6NLw09EwE0CqkOc4q9oUmW1yo/edit?usp=sharing"",""เพชรบูรณ์!J141"")"),0)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IFERROR(__xludf.DUMMYFUNCTION("IMPORTRANGE(""https://docs.google.com/spreadsheets/d/11923uPwbBZFjjGgGUA6NLw09EwE0CqkOc4q9oUmW1yo/edit?usp=sharing"",""เพชรบูรณ์!J142"")"),0)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IFERROR(__xludf.DUMMYFUNCTION("IMPORTRANGE(""https://docs.google.com/spreadsheets/d/11923uPwbBZFjjGgGUA6NLw09EwE0CqkOc4q9oUmW1yo/edit?usp=sharing"",""เพชรบูรณ์!J143"")"),0)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IFERROR(__xludf.DUMMYFUNCTION("IMPORTRANGE(""https://docs.google.com/spreadsheets/d/11923uPwbBZFjjGgGUA6NLw09EwE0CqkOc4q9oUmW1yo/edit?usp=sharing"",""เพชรบูรณ์!I144"")"),15)</f>
        <v>15</v>
      </c>
      <c r="J219" s="267">
        <f ca="1">IFERROR(__xludf.DUMMYFUNCTION("IMPORTRANGE(""https://docs.google.com/spreadsheets/d/11923uPwbBZFjjGgGUA6NLw09EwE0CqkOc4q9oUmW1yo/edit?usp=sharing"",""เพชรบูรณ์!J144"")"),15)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IFERROR(__xludf.DUMMYFUNCTION("IMPORTRANGE(""https://docs.google.com/spreadsheets/d/1Yj_ptqi66GCucihVvJfMjLAmec39IyEx_6qawtMGysU/edit?usp=sharing"",""สบก!BS29"")"),21125)</f>
        <v>21125</v>
      </c>
      <c r="N224" s="168">
        <f ca="1">IFERROR(__xludf.DUMMYFUNCTION("IMPORTRANGE(""https://docs.google.com/spreadsheets/d/1Yj_ptqi66GCucihVvJfMjLAmec39IyEx_6qawtMGysU/edit?usp=sharing"",""สบก!BT29"")"),21125)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IFERROR(__xludf.DUMMYFUNCTION("IMPORTRANGE(""https://docs.google.com/spreadsheets/d/1Yj_ptqi66GCucihVvJfMjLAmec39IyEx_6qawtMGysU/edit?usp=sharing"",""สบก!BO29"")"),0)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IFERROR(__xludf.DUMMYFUNCTION("IMPORTRANGE(""https://docs.google.com/spreadsheets/d/1Yj_ptqi66GCucihVvJfMjLAmec39IyEx_6qawtMGysU/edit?usp=sharing"",""สบก!BP29"")"),21125)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IFERROR(__xludf.DUMMYFUNCTION("IMPORTRANGE(""https://docs.google.com/spreadsheets/d/1Yj_ptqi66GCucihVvJfMjLAmec39IyEx_6qawtMGysU/edit?usp=sharing"",""สบก!BQ29"")"),0)</f>
        <v>0</v>
      </c>
      <c r="M228" s="50"/>
      <c r="N228" s="50">
        <f ca="1">IFERROR(__xludf.DUMMYFUNCTION("IMPORTRANGE(""https://docs.google.com/spreadsheets/d/1Yj_ptqi66GCucihVvJfMjLAmec39IyEx_6qawtMGysU/edit?usp=sharing"",""สบก!BU29"")"),0)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IFERROR(__xludf.DUMMYFUNCTION("IMPORTRANGE(""https://docs.google.com/spreadsheets/d/11923uPwbBZFjjGgGUA6NLw09EwE0CqkOc4q9oUmW1yo/edit?usp=sharing"",""เพชรบูรณ์!I149"")"),15)</f>
        <v>15</v>
      </c>
      <c r="J229" s="267">
        <f ca="1">IFERROR(__xludf.DUMMYFUNCTION("IMPORTRANGE(""https://docs.google.com/spreadsheets/d/11923uPwbBZFjjGgGUA6NLw09EwE0CqkOc4q9oUmW1yo/edit?usp=sharing"",""เพชรบูรณ์!J149"")"),15)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IFERROR(__xludf.DUMMYFUNCTION("IMPORTRANGE(""https://docs.google.com/spreadsheets/d/11923uPwbBZFjjGgGUA6NLw09EwE0CqkOc4q9oUmW1yo/edit?usp=sharing"",""เพชรบูรณ์!J151"")"),0)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IFERROR(__xludf.DUMMYFUNCTION("IMPORTRANGE(""https://docs.google.com/spreadsheets/d/11923uPwbBZFjjGgGUA6NLw09EwE0CqkOc4q9oUmW1yo/edit?usp=sharing"",""เพชรบูรณ์!J152"")"),0)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IFERROR(__xludf.DUMMYFUNCTION("IMPORTRANGE(""https://docs.google.com/spreadsheets/d/11923uPwbBZFjjGgGUA6NLw09EwE0CqkOc4q9oUmW1yo/edit?usp=sharing"",""เพชรบูรณ์!J153"")"),1)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IFERROR(__xludf.DUMMYFUNCTION("IMPORTRANGE(""https://docs.google.com/spreadsheets/d/11923uPwbBZFjjGgGUA6NLw09EwE0CqkOc4q9oUmW1yo/edit?usp=sharing"",""เพชรบูรณ์!J154"")"),1)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IFERROR(__xludf.DUMMYFUNCTION("IMPORTRANGE(""https://docs.google.com/spreadsheets/d/11923uPwbBZFjjGgGUA6NLw09EwE0CqkOc4q9oUmW1yo/edit?usp=sharing"",""เพชรบูรณ์!I155"")"),15)</f>
        <v>15</v>
      </c>
      <c r="J235" s="188">
        <f ca="1">IFERROR(__xludf.DUMMYFUNCTION("IMPORTRANGE(""https://docs.google.com/spreadsheets/d/11923uPwbBZFjjGgGUA6NLw09EwE0CqkOc4q9oUmW1yo/edit?usp=sharing"",""เพชรบูรณ์!J155"")"),15)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IFERROR(__xludf.DUMMYFUNCTION("IMPORTRANGE(""https://docs.google.com/spreadsheets/d/11923uPwbBZFjjGgGUA6NLw09EwE0CqkOc4q9oUmW1yo/edit?usp=sharing"",""เพชรบูรณ์!J156"")"),0)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IFERROR(__xludf.DUMMYFUNCTION("IMPORTRANGE(""https://docs.google.com/spreadsheets/d/11923uPwbBZFjjGgGUA6NLw09EwE0CqkOc4q9oUmW1yo/edit?usp=sharing"",""เพชรบูรณ์!J157"")"),1)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IFERROR(__xludf.DUMMYFUNCTION("IMPORTRANGE(""https://docs.google.com/spreadsheets/d/11923uPwbBZFjjGgGUA6NLw09EwE0CqkOc4q9oUmW1yo/edit?usp=sharing"",""เพชรบูรณ์!I158"")"),0)</f>
        <v>0</v>
      </c>
      <c r="J238" s="267">
        <f ca="1">IFERROR(__xludf.DUMMYFUNCTION("IMPORTRANGE(""https://docs.google.com/spreadsheets/d/11923uPwbBZFjjGgGUA6NLw09EwE0CqkOc4q9oUmW1yo/edit?usp=sharing"",""เพชรบูรณ์!J158"")"),0)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IFERROR(__xludf.DUMMYFUNCTION("IMPORTRANGE(""https://docs.google.com/spreadsheets/d/11923uPwbBZFjjGgGUA6NLw09EwE0CqkOc4q9oUmW1yo/edit?usp=sharing"",""เพชรบูรณ์!J159"")"),"")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IFERROR(__xludf.DUMMYFUNCTION("IMPORTRANGE(""https://docs.google.com/spreadsheets/d/11923uPwbBZFjjGgGUA6NLw09EwE0CqkOc4q9oUmW1yo/edit?usp=sharing"",""เพชรบูรณ์!J161"")"),0)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IFERROR(__xludf.DUMMYFUNCTION("IMPORTRANGE(""https://docs.google.com/spreadsheets/d/11923uPwbBZFjjGgGUA6NLw09EwE0CqkOc4q9oUmW1yo/edit?usp=sharing"",""เพชรบูรณ์!J162"")"),0)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IFERROR(__xludf.DUMMYFUNCTION("IMPORTRANGE(""https://docs.google.com/spreadsheets/d/11923uPwbBZFjjGgGUA6NLw09EwE0CqkOc4q9oUmW1yo/edit?usp=sharing"",""เพชรบูรณ์!J163"")"),0)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IFERROR(__xludf.DUMMYFUNCTION("IMPORTRANGE(""https://docs.google.com/spreadsheets/d/11923uPwbBZFjjGgGUA6NLw09EwE0CqkOc4q9oUmW1yo/edit?usp=sharing"",""เพชรบูรณ์!I164"")"),0)</f>
        <v>0</v>
      </c>
      <c r="J244" s="187">
        <f ca="1">IFERROR(__xludf.DUMMYFUNCTION("IMPORTRANGE(""https://docs.google.com/spreadsheets/d/11923uPwbBZFjjGgGUA6NLw09EwE0CqkOc4q9oUmW1yo/edit?usp=sharing"",""เพชรบูรณ์!J164"")"),0)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IFERROR(__xludf.DUMMYFUNCTION("IMPORTRANGE(""https://docs.google.com/spreadsheets/d/11923uPwbBZFjjGgGUA6NLw09EwE0CqkOc4q9oUmW1yo/edit?usp=sharing"",""เพชรบูรณ์!J165"")"),0)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IFERROR(__xludf.DUMMYFUNCTION("IMPORTRANGE(""https://docs.google.com/spreadsheets/d/11923uPwbBZFjjGgGUA6NLw09EwE0CqkOc4q9oUmW1yo/edit?usp=sharing"",""เพชรบูรณ์!J166"")"),0)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IFERROR(__xludf.DUMMYFUNCTION("IMPORTRANGE(""https://docs.google.com/spreadsheets/d/11923uPwbBZFjjGgGUA6NLw09EwE0CqkOc4q9oUmW1yo/edit?usp=sharing"",""เพชรบูรณ์!I169"")"),25)</f>
        <v>25</v>
      </c>
      <c r="J249" s="316">
        <f ca="1">IFERROR(__xludf.DUMMYFUNCTION("IMPORTRANGE(""https://docs.google.com/spreadsheets/d/11923uPwbBZFjjGgGUA6NLw09EwE0CqkOc4q9oUmW1yo/edit?usp=sharing"",""เพชรบูรณ์!J169"")"),25)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199519</v>
      </c>
      <c r="O250" s="151">
        <f t="shared" ref="O250:O252" ca="1" si="78">IF(L250&gt;0,N250*100/L250,0)</f>
        <v>100.26080402010051</v>
      </c>
      <c r="P250" s="151">
        <f t="shared" ref="P250:P252" ca="1" si="79">IF(M250&gt;0,N250*100/M250,0)</f>
        <v>100.26080402010051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199000</v>
      </c>
      <c r="M252" s="88">
        <f t="shared" ca="1" si="81"/>
        <v>199000</v>
      </c>
      <c r="N252" s="88">
        <f t="shared" ca="1" si="81"/>
        <v>199519</v>
      </c>
      <c r="O252" s="156">
        <f t="shared" ca="1" si="78"/>
        <v>100.26080402010051</v>
      </c>
      <c r="P252" s="156">
        <f t="shared" ca="1" si="79"/>
        <v>100.26080402010051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199000</v>
      </c>
      <c r="M254" s="167">
        <f ca="1">IFERROR(__xludf.DUMMYFUNCTION("IMPORTRANGE(""https://docs.google.com/spreadsheets/d/1Yj_ptqi66GCucihVvJfMjLAmec39IyEx_6qawtMGysU/edit?usp=sharing"",""สบก!CB29"")"),199000)</f>
        <v>199000</v>
      </c>
      <c r="N254" s="168">
        <f ca="1">IFERROR(__xludf.DUMMYFUNCTION("IMPORTRANGE(""https://docs.google.com/spreadsheets/d/1Yj_ptqi66GCucihVvJfMjLAmec39IyEx_6qawtMGysU/edit?usp=sharing"",""สบก!CC29"")"),199519)</f>
        <v>199519</v>
      </c>
      <c r="O254" s="168">
        <f ca="1">IF(L254&gt;0,N254*100/L254,0)</f>
        <v>100.26080402010051</v>
      </c>
      <c r="P254" s="168">
        <f ca="1">IF(M254&gt;0,N254*100/M254,0)</f>
        <v>100.26080402010051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IFERROR(__xludf.DUMMYFUNCTION("IMPORTRANGE(""https://docs.google.com/spreadsheets/d/1Yj_ptqi66GCucihVvJfMjLAmec39IyEx_6qawtMGysU/edit?usp=sharing"",""สบก!BX29"")"),0)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IFERROR(__xludf.DUMMYFUNCTION("IMPORTRANGE(""https://docs.google.com/spreadsheets/d/1Yj_ptqi66GCucihVvJfMjLAmec39IyEx_6qawtMGysU/edit?usp=sharing"",""สบก!BY29"")"),199000)</f>
        <v>199000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IFERROR(__xludf.DUMMYFUNCTION("IMPORTRANGE(""https://docs.google.com/spreadsheets/d/1Yj_ptqi66GCucihVvJfMjLAmec39IyEx_6qawtMGysU/edit?usp=sharing"",""สบก!BZ29"")"),0)</f>
        <v>0</v>
      </c>
      <c r="M258" s="50"/>
      <c r="N258" s="50">
        <f ca="1">IFERROR(__xludf.DUMMYFUNCTION("IMPORTRANGE(""https://docs.google.com/spreadsheets/d/1Yj_ptqi66GCucihVvJfMjLAmec39IyEx_6qawtMGysU/edit?usp=sharing"",""สบก!CD29"")"),0)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IFERROR(__xludf.DUMMYFUNCTION("IMPORTRANGE(""https://docs.google.com/spreadsheets/d/11923uPwbBZFjjGgGUA6NLw09EwE0CqkOc4q9oUmW1yo/edit?usp=sharing"",""เพชรบูรณ์!J175"")"),0)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IFERROR(__xludf.DUMMYFUNCTION("IMPORTRANGE(""https://docs.google.com/spreadsheets/d/11923uPwbBZFjjGgGUA6NLw09EwE0CqkOc4q9oUmW1yo/edit?usp=sharing"",""เพชรบูรณ์!J176"")"),1)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IFERROR(__xludf.DUMMYFUNCTION("IMPORTRANGE(""https://docs.google.com/spreadsheets/d/11923uPwbBZFjjGgGUA6NLw09EwE0CqkOc4q9oUmW1yo/edit?usp=sharing"",""เพชรบูรณ์!J177"")"),1)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IFERROR(__xludf.DUMMYFUNCTION("IMPORTRANGE(""https://docs.google.com/spreadsheets/d/11923uPwbBZFjjGgGUA6NLw09EwE0CqkOc4q9oUmW1yo/edit?usp=sharing"",""เพชรบูรณ์!J178"")"),1)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IFERROR(__xludf.DUMMYFUNCTION("IMPORTRANGE(""https://docs.google.com/spreadsheets/d/11923uPwbBZFjjGgGUA6NLw09EwE0CqkOc4q9oUmW1yo/edit?usp=sharing"",""เพชรบูรณ์!I179"")"),1)</f>
        <v>1</v>
      </c>
      <c r="J264" s="188">
        <f ca="1">IFERROR(__xludf.DUMMYFUNCTION("IMPORTRANGE(""https://docs.google.com/spreadsheets/d/11923uPwbBZFjjGgGUA6NLw09EwE0CqkOc4q9oUmW1yo/edit?usp=sharing"",""เพชรบูรณ์!J179"")"),1)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IFERROR(__xludf.DUMMYFUNCTION("IMPORTRANGE(""https://docs.google.com/spreadsheets/d/11923uPwbBZFjjGgGUA6NLw09EwE0CqkOc4q9oUmW1yo/edit?usp=sharing"",""เพชรบูรณ์!I180"")"),25)</f>
        <v>25</v>
      </c>
      <c r="J265" s="188">
        <f ca="1">IFERROR(__xludf.DUMMYFUNCTION("IMPORTRANGE(""https://docs.google.com/spreadsheets/d/11923uPwbBZFjjGgGUA6NLw09EwE0CqkOc4q9oUmW1yo/edit?usp=sharing"",""เพชรบูรณ์!J180"")"),25)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IFERROR(__xludf.DUMMYFUNCTION("IMPORTRANGE(""https://docs.google.com/spreadsheets/d/11923uPwbBZFjjGgGUA6NLw09EwE0CqkOc4q9oUmW1yo/edit?usp=sharing"",""เพชรบูรณ์!I181"")"),25)</f>
        <v>25</v>
      </c>
      <c r="J266" s="188">
        <f ca="1">IFERROR(__xludf.DUMMYFUNCTION("IMPORTRANGE(""https://docs.google.com/spreadsheets/d/11923uPwbBZFjjGgGUA6NLw09EwE0CqkOc4q9oUmW1yo/edit?usp=sharing"",""เพชรบูรณ์!J181"")"),25)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IFERROR(__xludf.DUMMYFUNCTION("IMPORTRANGE(""https://docs.google.com/spreadsheets/d/11923uPwbBZFjjGgGUA6NLw09EwE0CqkOc4q9oUmW1yo/edit?usp=sharing"",""เพชรบูรณ์!I182"")"),1)</f>
        <v>1</v>
      </c>
      <c r="J267" s="188">
        <f ca="1">IFERROR(__xludf.DUMMYFUNCTION("IMPORTRANGE(""https://docs.google.com/spreadsheets/d/11923uPwbBZFjjGgGUA6NLw09EwE0CqkOc4q9oUmW1yo/edit?usp=sharing"",""เพชรบูรณ์!J182"")"),1)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IFERROR(__xludf.DUMMYFUNCTION("IMPORTRANGE(""https://docs.google.com/spreadsheets/d/11923uPwbBZFjjGgGUA6NLw09EwE0CqkOc4q9oUmW1yo/edit?usp=sharing"",""เพชรบูรณ์!J183"")"),0)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IFERROR(__xludf.DUMMYFUNCTION("IMPORTRANGE(""https://docs.google.com/spreadsheets/d/11923uPwbBZFjjGgGUA6NLw09EwE0CqkOc4q9oUmW1yo/edit?usp=sharing"",""เพชรบูรณ์!J184"")"),0)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IFERROR(__xludf.DUMMYFUNCTION("IMPORTRANGE(""https://docs.google.com/spreadsheets/d/11923uPwbBZFjjGgGUA6NLw09EwE0CqkOc4q9oUmW1yo/edit?usp=sharing"",""เพชรบูรณ์!I185"")"),20)</f>
        <v>20</v>
      </c>
      <c r="J270" s="316">
        <f ca="1">IFERROR(__xludf.DUMMYFUNCTION("IMPORTRANGE(""https://docs.google.com/spreadsheets/d/11923uPwbBZFjjGgGUA6NLw09EwE0CqkOc4q9oUmW1yo/edit?usp=sharing"",""เพชรบูรณ์!J185"")"),20)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73700</v>
      </c>
      <c r="M271" s="152">
        <f t="shared" ca="1" si="83"/>
        <v>73700</v>
      </c>
      <c r="N271" s="152">
        <f t="shared" ca="1" si="83"/>
        <v>37556</v>
      </c>
      <c r="O271" s="151">
        <f t="shared" ref="O271:O273" ca="1" si="84">IF(L271&gt;0,N271*100/L271,0)</f>
        <v>50.957937584803254</v>
      </c>
      <c r="P271" s="151">
        <f t="shared" ref="P271:P273" ca="1" si="85">IF(M271&gt;0,N271*100/M271,0)</f>
        <v>50.957937584803254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73700</v>
      </c>
      <c r="M273" s="88">
        <f t="shared" ca="1" si="87"/>
        <v>73700</v>
      </c>
      <c r="N273" s="88">
        <f t="shared" ca="1" si="87"/>
        <v>37556</v>
      </c>
      <c r="O273" s="156">
        <f t="shared" ca="1" si="84"/>
        <v>50.957937584803254</v>
      </c>
      <c r="P273" s="156">
        <f t="shared" ca="1" si="85"/>
        <v>50.957937584803254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73700</v>
      </c>
      <c r="M275" s="167">
        <f ca="1">IFERROR(__xludf.DUMMYFUNCTION("IMPORTRANGE(""https://docs.google.com/spreadsheets/d/1Yj_ptqi66GCucihVvJfMjLAmec39IyEx_6qawtMGysU/edit?usp=sharing"",""สบก!CK29"")"),73700)</f>
        <v>73700</v>
      </c>
      <c r="N275" s="168">
        <f ca="1">IFERROR(__xludf.DUMMYFUNCTION("IMPORTRANGE(""https://docs.google.com/spreadsheets/d/1Yj_ptqi66GCucihVvJfMjLAmec39IyEx_6qawtMGysU/edit?usp=sharing"",""สบก!CL29"")"),37556)</f>
        <v>37556</v>
      </c>
      <c r="O275" s="168">
        <f ca="1">IF(L275&gt;0,N275*100/L275,0)</f>
        <v>50.957937584803254</v>
      </c>
      <c r="P275" s="168">
        <f ca="1">IF(M275&gt;0,N275*100/M275,0)</f>
        <v>50.957937584803254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IFERROR(__xludf.DUMMYFUNCTION("IMPORTRANGE(""https://docs.google.com/spreadsheets/d/1Yj_ptqi66GCucihVvJfMjLAmec39IyEx_6qawtMGysU/edit?usp=sharing"",""สบก!CG29"")"),0)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IFERROR(__xludf.DUMMYFUNCTION("IMPORTRANGE(""https://docs.google.com/spreadsheets/d/1Yj_ptqi66GCucihVvJfMjLAmec39IyEx_6qawtMGysU/edit?usp=sharing"",""สบก!CH29"")"),73700)</f>
        <v>73700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IFERROR(__xludf.DUMMYFUNCTION("IMPORTRANGE(""https://docs.google.com/spreadsheets/d/1Yj_ptqi66GCucihVvJfMjLAmec39IyEx_6qawtMGysU/edit?usp=sharing"",""สบก!CI29"")"),0)</f>
        <v>0</v>
      </c>
      <c r="M279" s="50"/>
      <c r="N279" s="50">
        <f ca="1">IFERROR(__xludf.DUMMYFUNCTION("IMPORTRANGE(""https://docs.google.com/spreadsheets/d/1Yj_ptqi66GCucihVvJfMjLAmec39IyEx_6qawtMGysU/edit?usp=sharing"",""สบก!CM29"")"),0)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IFERROR(__xludf.DUMMYFUNCTION("IMPORTRANGE(""https://docs.google.com/spreadsheets/d/11923uPwbBZFjjGgGUA6NLw09EwE0CqkOc4q9oUmW1yo/edit?usp=sharing"",""เพชรบูรณ์!J191"")"),0)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IFERROR(__xludf.DUMMYFUNCTION("IMPORTRANGE(""https://docs.google.com/spreadsheets/d/11923uPwbBZFjjGgGUA6NLw09EwE0CqkOc4q9oUmW1yo/edit?usp=sharing"",""เพชรบูรณ์!J192"")"),1)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IFERROR(__xludf.DUMMYFUNCTION("IMPORTRANGE(""https://docs.google.com/spreadsheets/d/11923uPwbBZFjjGgGUA6NLw09EwE0CqkOc4q9oUmW1yo/edit?usp=sharing"",""เพชรบูรณ์!J193"")"),1)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IFERROR(__xludf.DUMMYFUNCTION("IMPORTRANGE(""https://docs.google.com/spreadsheets/d/11923uPwbBZFjjGgGUA6NLw09EwE0CqkOc4q9oUmW1yo/edit?usp=sharing"",""เพชรบูรณ์!J194"")"),1)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IFERROR(__xludf.DUMMYFUNCTION("IMPORTRANGE(""https://docs.google.com/spreadsheets/d/11923uPwbBZFjjGgGUA6NLw09EwE0CqkOc4q9oUmW1yo/edit?usp=sharing"",""เพชรบูรณ์!I195"")"),20)</f>
        <v>20</v>
      </c>
      <c r="J285" s="188">
        <f ca="1">IFERROR(__xludf.DUMMYFUNCTION("IMPORTRANGE(""https://docs.google.com/spreadsheets/d/11923uPwbBZFjjGgGUA6NLw09EwE0CqkOc4q9oUmW1yo/edit?usp=sharing"",""เพชรบูรณ์!J195"")"),20)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IFERROR(__xludf.DUMMYFUNCTION("IMPORTRANGE(""https://docs.google.com/spreadsheets/d/11923uPwbBZFjjGgGUA6NLw09EwE0CqkOc4q9oUmW1yo/edit?usp=sharing"",""เพชรบูรณ์!J196"")"),0)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IFERROR(__xludf.DUMMYFUNCTION("IMPORTRANGE(""https://docs.google.com/spreadsheets/d/11923uPwbBZFjjGgGUA6NLw09EwE0CqkOc4q9oUmW1yo/edit?usp=sharing"",""เพชรบูรณ์!J197"")"),0)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IFERROR(__xludf.DUMMYFUNCTION("IMPORTRANGE(""https://docs.google.com/spreadsheets/d/11923uPwbBZFjjGgGUA6NLw09EwE0CqkOc4q9oUmW1yo/edit?usp=sharing"",""เพชรบูรณ์!I199"")"),0)</f>
        <v>0</v>
      </c>
      <c r="J289" s="316">
        <f ca="1">IFERROR(__xludf.DUMMYFUNCTION("IMPORTRANGE(""https://docs.google.com/spreadsheets/d/11923uPwbBZFjjGgGUA6NLw09EwE0CqkOc4q9oUmW1yo/edit?usp=sharing"",""เพชรบูรณ์!J199"")"),0)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IFERROR(__xludf.DUMMYFUNCTION("IMPORTRANGE(""https://docs.google.com/spreadsheets/d/1Yj_ptqi66GCucihVvJfMjLAmec39IyEx_6qawtMGysU/edit?usp=sharing"",""สบก!CT29"")"),0)</f>
        <v>0</v>
      </c>
      <c r="N294" s="168">
        <f ca="1">IFERROR(__xludf.DUMMYFUNCTION("IMPORTRANGE(""https://docs.google.com/spreadsheets/d/1Yj_ptqi66GCucihVvJfMjLAmec39IyEx_6qawtMGysU/edit?usp=sharing"",""สบก!CU29"")"),0)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IFERROR(__xludf.DUMMYFUNCTION("IMPORTRANGE(""https://docs.google.com/spreadsheets/d/1Yj_ptqi66GCucihVvJfMjLAmec39IyEx_6qawtMGysU/edit?usp=sharing"",""สบก!CP29"")"),0)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IFERROR(__xludf.DUMMYFUNCTION("IMPORTRANGE(""https://docs.google.com/spreadsheets/d/1Yj_ptqi66GCucihVvJfMjLAmec39IyEx_6qawtMGysU/edit?usp=sharing"",""สบก!CQ29"")"),0)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IFERROR(__xludf.DUMMYFUNCTION("IMPORTRANGE(""https://docs.google.com/spreadsheets/d/1Yj_ptqi66GCucihVvJfMjLAmec39IyEx_6qawtMGysU/edit?usp=sharing"",""สบก!CR29"")"),0)</f>
        <v>0</v>
      </c>
      <c r="M298" s="50"/>
      <c r="N298" s="50">
        <f ca="1">IFERROR(__xludf.DUMMYFUNCTION("IMPORTRANGE(""https://docs.google.com/spreadsheets/d/1Yj_ptqi66GCucihVvJfMjLAmec39IyEx_6qawtMGysU/edit?usp=sharing"",""สบก!CV29"")"),0)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IFERROR(__xludf.DUMMYFUNCTION("IMPORTRANGE(""https://docs.google.com/spreadsheets/d/11923uPwbBZFjjGgGUA6NLw09EwE0CqkOc4q9oUmW1yo/edit?usp=sharing"",""เพชรบูรณ์!J205"")"),0)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IFERROR(__xludf.DUMMYFUNCTION("IMPORTRANGE(""https://docs.google.com/spreadsheets/d/11923uPwbBZFjjGgGUA6NLw09EwE0CqkOc4q9oUmW1yo/edit?usp=sharing"",""เพชรบูรณ์!J206"")"),0)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IFERROR(__xludf.DUMMYFUNCTION("IMPORTRANGE(""https://docs.google.com/spreadsheets/d/11923uPwbBZFjjGgGUA6NLw09EwE0CqkOc4q9oUmW1yo/edit?usp=sharing"",""เพชรบูรณ์!J207"")"),0)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IFERROR(__xludf.DUMMYFUNCTION("IMPORTRANGE(""https://docs.google.com/spreadsheets/d/11923uPwbBZFjjGgGUA6NLw09EwE0CqkOc4q9oUmW1yo/edit?usp=sharing"",""เพชรบูรณ์!J208"")"),0)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IFERROR(__xludf.DUMMYFUNCTION("IMPORTRANGE(""https://docs.google.com/spreadsheets/d/11923uPwbBZFjjGgGUA6NLw09EwE0CqkOc4q9oUmW1yo/edit?usp=sharing"",""เพชรบูรณ์!I209"")"),0)</f>
        <v>0</v>
      </c>
      <c r="J304" s="203">
        <f ca="1">IFERROR(__xludf.DUMMYFUNCTION("IMPORTRANGE(""https://docs.google.com/spreadsheets/d/11923uPwbBZFjjGgGUA6NLw09EwE0CqkOc4q9oUmW1yo/edit?usp=sharing"",""เพชรบูรณ์!J209"")"),0)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IFERROR(__xludf.DUMMYFUNCTION("IMPORTRANGE(""https://docs.google.com/spreadsheets/d/11923uPwbBZFjjGgGUA6NLw09EwE0CqkOc4q9oUmW1yo/edit?usp=sharing"",""เพชรบูรณ์!I211"")"),0)</f>
        <v>0</v>
      </c>
      <c r="J306" s="203">
        <f ca="1">IFERROR(__xludf.DUMMYFUNCTION("IMPORTRANGE(""https://docs.google.com/spreadsheets/d/11923uPwbBZFjjGgGUA6NLw09EwE0CqkOc4q9oUmW1yo/edit?usp=sharing"",""เพชรบูรณ์!J211"")"),0)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IFERROR(__xludf.DUMMYFUNCTION("IMPORTRANGE(""https://docs.google.com/spreadsheets/d/11923uPwbBZFjjGgGUA6NLw09EwE0CqkOc4q9oUmW1yo/edit?usp=sharing"",""เพชรบูรณ์!J212"")"),0)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IFERROR(__xludf.DUMMYFUNCTION("IMPORTRANGE(""https://docs.google.com/spreadsheets/d/11923uPwbBZFjjGgGUA6NLw09EwE0CqkOc4q9oUmW1yo/edit?usp=sharing"",""เพชรบูรณ์!J213"")"),0)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IFERROR(__xludf.DUMMYFUNCTION("IMPORTRANGE(""https://docs.google.com/spreadsheets/d/11923uPwbBZFjjGgGUA6NLw09EwE0CqkOc4q9oUmW1yo/edit?usp=sharing"",""เพชรบูรณ์!I214"")"),0)</f>
        <v>0</v>
      </c>
      <c r="J309" s="333">
        <f ca="1">IFERROR(__xludf.DUMMYFUNCTION("IMPORTRANGE(""https://docs.google.com/spreadsheets/d/11923uPwbBZFjjGgGUA6NLw09EwE0CqkOc4q9oUmW1yo/edit?usp=sharing"",""เพชรบูรณ์!J214"")"),0)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IFERROR(__xludf.DUMMYFUNCTION("IMPORTRANGE(""https://docs.google.com/spreadsheets/d/1Yj_ptqi66GCucihVvJfMjLAmec39IyEx_6qawtMGysU/edit?usp=sharing"",""สบก!DC29"")"),0)</f>
        <v>0</v>
      </c>
      <c r="N314" s="168">
        <f ca="1">IFERROR(__xludf.DUMMYFUNCTION("IMPORTRANGE(""https://docs.google.com/spreadsheets/d/1Yj_ptqi66GCucihVvJfMjLAmec39IyEx_6qawtMGysU/edit?usp=sharing"",""สบก!DD29"")"),0)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IFERROR(__xludf.DUMMYFUNCTION("IMPORTRANGE(""https://docs.google.com/spreadsheets/d/1Yj_ptqi66GCucihVvJfMjLAmec39IyEx_6qawtMGysU/edit?usp=sharing"",""สบก!CY29"")"),0)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IFERROR(__xludf.DUMMYFUNCTION("IMPORTRANGE(""https://docs.google.com/spreadsheets/d/1Yj_ptqi66GCucihVvJfMjLAmec39IyEx_6qawtMGysU/edit?usp=sharing"",""สบก!CZ29"")"),0)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IFERROR(__xludf.DUMMYFUNCTION("IMPORTRANGE(""https://docs.google.com/spreadsheets/d/1Yj_ptqi66GCucihVvJfMjLAmec39IyEx_6qawtMGysU/edit?usp=sharing"",""สบก!DA29"")"),0)</f>
        <v>0</v>
      </c>
      <c r="M318" s="50"/>
      <c r="N318" s="50">
        <f ca="1">IFERROR(__xludf.DUMMYFUNCTION("IMPORTRANGE(""https://docs.google.com/spreadsheets/d/1Yj_ptqi66GCucihVvJfMjLAmec39IyEx_6qawtMGysU/edit?usp=sharing"",""สบก!DE29"")"),0)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IFERROR(__xludf.DUMMYFUNCTION("IMPORTRANGE(""https://docs.google.com/spreadsheets/d/11923uPwbBZFjjGgGUA6NLw09EwE0CqkOc4q9oUmW1yo/edit?usp=sharing"",""เพชรบูรณ์!J220"")"),0)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IFERROR(__xludf.DUMMYFUNCTION("IMPORTRANGE(""https://docs.google.com/spreadsheets/d/11923uPwbBZFjjGgGUA6NLw09EwE0CqkOc4q9oUmW1yo/edit?usp=sharing"",""เพชรบูรณ์!J221"")"),0)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IFERROR(__xludf.DUMMYFUNCTION("IMPORTRANGE(""https://docs.google.com/spreadsheets/d/11923uPwbBZFjjGgGUA6NLw09EwE0CqkOc4q9oUmW1yo/edit?usp=sharing"",""เพชรบูรณ์!J222"")"),0)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IFERROR(__xludf.DUMMYFUNCTION("IMPORTRANGE(""https://docs.google.com/spreadsheets/d/11923uPwbBZFjjGgGUA6NLw09EwE0CqkOc4q9oUmW1yo/edit?usp=sharing"",""เพชรบูรณ์!J223"")"),0)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IFERROR(__xludf.DUMMYFUNCTION("IMPORTRANGE(""https://docs.google.com/spreadsheets/d/11923uPwbBZFjjGgGUA6NLw09EwE0CqkOc4q9oUmW1yo/edit?usp=sharing"",""เพชรบูรณ์!I224"")"),0)</f>
        <v>0</v>
      </c>
      <c r="J324" s="203">
        <f ca="1">IFERROR(__xludf.DUMMYFUNCTION("IMPORTRANGE(""https://docs.google.com/spreadsheets/d/11923uPwbBZFjjGgGUA6NLw09EwE0CqkOc4q9oUmW1yo/edit?usp=sharing"",""เพชรบูรณ์!J224"")"),0)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IFERROR(__xludf.DUMMYFUNCTION("IMPORTRANGE(""https://docs.google.com/spreadsheets/d/11923uPwbBZFjjGgGUA6NLw09EwE0CqkOc4q9oUmW1yo/edit?usp=sharing"",""เพชรบูรณ์!J225"")"),0)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IFERROR(__xludf.DUMMYFUNCTION("IMPORTRANGE(""https://docs.google.com/spreadsheets/d/11923uPwbBZFjjGgGUA6NLw09EwE0CqkOc4q9oUmW1yo/edit?usp=sharing"",""เพชรบูรณ์!J226"")"),0)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IFERROR(__xludf.DUMMYFUNCTION("IMPORTRANGE(""https://docs.google.com/spreadsheets/d/11923uPwbBZFjjGgGUA6NLw09EwE0CqkOc4q9oUmW1yo/edit?usp=sharing"",""เพชรบูรณ์!I228"")"),610)</f>
        <v>610</v>
      </c>
      <c r="J328" s="339">
        <f ca="1">IFERROR(__xludf.DUMMYFUNCTION("IMPORTRANGE(""https://docs.google.com/spreadsheets/d/11923uPwbBZFjjGgGUA6NLw09EwE0CqkOc4q9oUmW1yo/edit?usp=sharing"",""เพชรบูรณ์!J228"")"),469)</f>
        <v>469</v>
      </c>
      <c r="K328" s="317">
        <f ca="1">IF(I328&gt;0,J328*100/I328,0)</f>
        <v>76.885245901639351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1209740</v>
      </c>
      <c r="M329" s="152">
        <f t="shared" ca="1" si="98"/>
        <v>1406860</v>
      </c>
      <c r="N329" s="152">
        <f t="shared" ca="1" si="98"/>
        <v>856305</v>
      </c>
      <c r="O329" s="151">
        <f t="shared" ref="O329:O331" ca="1" si="99">IF(L329&gt;0,N329*100/L329,0)</f>
        <v>70.784218096450473</v>
      </c>
      <c r="P329" s="151">
        <f t="shared" ref="P329:P331" ca="1" si="100">IF(M329&gt;0,N329*100/M329,0)</f>
        <v>60.86639750934706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1209740</v>
      </c>
      <c r="M331" s="88">
        <f t="shared" ca="1" si="102"/>
        <v>1406860</v>
      </c>
      <c r="N331" s="88">
        <f t="shared" ca="1" si="102"/>
        <v>856305</v>
      </c>
      <c r="O331" s="156">
        <f t="shared" ca="1" si="99"/>
        <v>70.784218096450473</v>
      </c>
      <c r="P331" s="156">
        <f t="shared" ca="1" si="100"/>
        <v>60.86639750934706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1144940</v>
      </c>
      <c r="M333" s="167">
        <f ca="1">IFERROR(__xludf.DUMMYFUNCTION("IMPORTRANGE(""https://docs.google.com/spreadsheets/d/1Yj_ptqi66GCucihVvJfMjLAmec39IyEx_6qawtMGysU/edit?usp=sharing"",""สบก!DL29"")"),1342060)</f>
        <v>1342060</v>
      </c>
      <c r="N333" s="168">
        <f ca="1">IFERROR(__xludf.DUMMYFUNCTION("IMPORTRANGE(""https://docs.google.com/spreadsheets/d/1Yj_ptqi66GCucihVvJfMjLAmec39IyEx_6qawtMGysU/edit?usp=sharing"",""สบก!DM29"")"),791505)</f>
        <v>791505</v>
      </c>
      <c r="O333" s="168">
        <f ca="1">IF(L333&gt;0,N333*100/L333,0)</f>
        <v>69.130696805072759</v>
      </c>
      <c r="P333" s="168">
        <f ca="1">IF(M333&gt;0,N333*100/M333,0)</f>
        <v>58.976871376838588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IFERROR(__xludf.DUMMYFUNCTION("IMPORTRANGE(""https://docs.google.com/spreadsheets/d/1Yj_ptqi66GCucihVvJfMjLAmec39IyEx_6qawtMGysU/edit?usp=sharing"",""สบก!DH29"")"),306000)</f>
        <v>306000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IFERROR(__xludf.DUMMYFUNCTION("IMPORTRANGE(""https://docs.google.com/spreadsheets/d/1Yj_ptqi66GCucihVvJfMjLAmec39IyEx_6qawtMGysU/edit?usp=sharing"",""สบก!DI29"")"),838940)</f>
        <v>838940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IFERROR(__xludf.DUMMYFUNCTION("IMPORTRANGE(""https://docs.google.com/spreadsheets/d/1Yj_ptqi66GCucihVvJfMjLAmec39IyEx_6qawtMGysU/edit?usp=sharing"",""สบก!DJ29"")"),64800)</f>
        <v>64800</v>
      </c>
      <c r="M337" s="50">
        <f ca="1">L337</f>
        <v>64800</v>
      </c>
      <c r="N337" s="50">
        <f ca="1">IFERROR(__xludf.DUMMYFUNCTION("IMPORTRANGE(""https://docs.google.com/spreadsheets/d/1Yj_ptqi66GCucihVvJfMjLAmec39IyEx_6qawtMGysU/edit?usp=sharing"",""สบก!DN29"")"),64800)</f>
        <v>64800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IFERROR(__xludf.DUMMYFUNCTION("IMPORTRANGE(""https://docs.google.com/spreadsheets/d/11923uPwbBZFjjGgGUA6NLw09EwE0CqkOc4q9oUmW1yo/edit?usp=sharing"",""เพชรบูรณ์!I234"")"),0)</f>
        <v>0</v>
      </c>
      <c r="J339" s="187">
        <f ca="1">IFERROR(__xludf.DUMMYFUNCTION("IMPORTRANGE(""https://docs.google.com/spreadsheets/d/11923uPwbBZFjjGgGUA6NLw09EwE0CqkOc4q9oUmW1yo/edit?usp=sharing"",""เพชรบูรณ์!J234"")"),396)</f>
        <v>396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IFERROR(__xludf.DUMMYFUNCTION("IMPORTRANGE(""https://docs.google.com/spreadsheets/d/11923uPwbBZFjjGgGUA6NLw09EwE0CqkOc4q9oUmW1yo/edit?usp=sharing"",""เพชรบูรณ์!I235"")"),5920)</f>
        <v>5920</v>
      </c>
      <c r="J340" s="187">
        <f ca="1">IFERROR(__xludf.DUMMYFUNCTION("IMPORTRANGE(""https://docs.google.com/spreadsheets/d/11923uPwbBZFjjGgGUA6NLw09EwE0CqkOc4q9oUmW1yo/edit?usp=sharing"",""เพชรบูรณ์!J235"")"),4330.15)</f>
        <v>4330.1499999999996</v>
      </c>
      <c r="K340" s="342">
        <f t="shared" ca="1" si="103"/>
        <v>73.144425675675663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IFERROR(__xludf.DUMMYFUNCTION("IMPORTRANGE(""https://docs.google.com/spreadsheets/d/11923uPwbBZFjjGgGUA6NLw09EwE0CqkOc4q9oUmW1yo/edit?usp=sharing"",""เพชรบูรณ์!I236"")"),610)</f>
        <v>610</v>
      </c>
      <c r="J341" s="187">
        <f ca="1">IFERROR(__xludf.DUMMYFUNCTION("IMPORTRANGE(""https://docs.google.com/spreadsheets/d/11923uPwbBZFjjGgGUA6NLw09EwE0CqkOc4q9oUmW1yo/edit?usp=sharing"",""เพชรบูรณ์!J236"")"),606)</f>
        <v>606</v>
      </c>
      <c r="K341" s="342">
        <f t="shared" ca="1" si="103"/>
        <v>99.344262295081961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IFERROR(__xludf.DUMMYFUNCTION("IMPORTRANGE(""https://docs.google.com/spreadsheets/d/11923uPwbBZFjjGgGUA6NLw09EwE0CqkOc4q9oUmW1yo/edit?usp=sharing"",""เพชรบูรณ์!I237"")"),0)</f>
        <v>0</v>
      </c>
      <c r="J342" s="187">
        <f ca="1">IFERROR(__xludf.DUMMYFUNCTION("IMPORTRANGE(""https://docs.google.com/spreadsheets/d/11923uPwbBZFjjGgGUA6NLw09EwE0CqkOc4q9oUmW1yo/edit?usp=sharing"",""เพชรบูรณ์!J237"")"),8643.62)</f>
        <v>8643.6200000000008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IFERROR(__xludf.DUMMYFUNCTION("IMPORTRANGE(""https://docs.google.com/spreadsheets/d/11923uPwbBZFjjGgGUA6NLw09EwE0CqkOc4q9oUmW1yo/edit?usp=sharing"",""เพชรบูรณ์!I238"")"),610)</f>
        <v>610</v>
      </c>
      <c r="J343" s="187">
        <f ca="1">IFERROR(__xludf.DUMMYFUNCTION("IMPORTRANGE(""https://docs.google.com/spreadsheets/d/11923uPwbBZFjjGgGUA6NLw09EwE0CqkOc4q9oUmW1yo/edit?usp=sharing"",""เพชรบูรณ์!J238"")"),38)</f>
        <v>38</v>
      </c>
      <c r="K343" s="342">
        <f t="shared" ca="1" si="103"/>
        <v>6.2295081967213113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IFERROR(__xludf.DUMMYFUNCTION("IMPORTRANGE(""https://docs.google.com/spreadsheets/d/11923uPwbBZFjjGgGUA6NLw09EwE0CqkOc4q9oUmW1yo/edit?usp=sharing"",""เพชรบูรณ์!I239"")"),0)</f>
        <v>0</v>
      </c>
      <c r="J344" s="187">
        <f ca="1">IFERROR(__xludf.DUMMYFUNCTION("IMPORTRANGE(""https://docs.google.com/spreadsheets/d/11923uPwbBZFjjGgGUA6NLw09EwE0CqkOc4q9oUmW1yo/edit?usp=sharing"",""เพชรบูรณ์!J239"")"),402.8)</f>
        <v>402.8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IFERROR(__xludf.DUMMYFUNCTION("IMPORTRANGE(""https://docs.google.com/spreadsheets/d/11923uPwbBZFjjGgGUA6NLw09EwE0CqkOc4q9oUmW1yo/edit?usp=sharing"",""เพชรบูรณ์!I240"")"),610)</f>
        <v>610</v>
      </c>
      <c r="J345" s="187">
        <f ca="1">IFERROR(__xludf.DUMMYFUNCTION("IMPORTRANGE(""https://docs.google.com/spreadsheets/d/11923uPwbBZFjjGgGUA6NLw09EwE0CqkOc4q9oUmW1yo/edit?usp=sharing"",""เพชรบูรณ์!J240"")"),469)</f>
        <v>469</v>
      </c>
      <c r="K345" s="342">
        <f t="shared" ca="1" si="103"/>
        <v>76.885245901639351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IFERROR(__xludf.DUMMYFUNCTION("IMPORTRANGE(""https://docs.google.com/spreadsheets/d/11923uPwbBZFjjGgGUA6NLw09EwE0CqkOc4q9oUmW1yo/edit?usp=sharing"",""เพชรบูรณ์!I241"")"),0)</f>
        <v>0</v>
      </c>
      <c r="J346" s="187">
        <f ca="1">IFERROR(__xludf.DUMMYFUNCTION("IMPORTRANGE(""https://docs.google.com/spreadsheets/d/11923uPwbBZFjjGgGUA6NLw09EwE0CqkOc4q9oUmW1yo/edit?usp=sharing"",""เพชรบูรณ์!J241"")"),6597.78)</f>
        <v>6597.78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IFERROR(__xludf.DUMMYFUNCTION("IMPORTRANGE(""https://docs.google.com/spreadsheets/d/11923uPwbBZFjjGgGUA6NLw09EwE0CqkOc4q9oUmW1yo/edit?usp=sharing"",""เพชรบูรณ์!L242"")"),3075756)</f>
        <v>3075756</v>
      </c>
      <c r="M347" s="357"/>
      <c r="N347" s="357">
        <f ca="1">IFERROR(__xludf.DUMMYFUNCTION("IMPORTRANGE(""https://docs.google.com/spreadsheets/d/11923uPwbBZFjjGgGUA6NLw09EwE0CqkOc4q9oUmW1yo/edit?usp=sharing"",""เพชรบูรณ์!M242"")"),1835862.46)</f>
        <v>1835862.46</v>
      </c>
      <c r="O347" s="357">
        <f ca="1">+IF(L347&gt;0,N347*100/L347,0)</f>
        <v>59.688169672756878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IFERROR(__xludf.DUMMYFUNCTION("IMPORTRANGE(""https://docs.google.com/spreadsheets/d/11923uPwbBZFjjGgGUA6NLw09EwE0CqkOc4q9oUmW1yo/edit?usp=sharing"",""เพชรบูรณ์!I244"")"),425)</f>
        <v>425</v>
      </c>
      <c r="J349" s="370">
        <f ca="1">IFERROR(__xludf.DUMMYFUNCTION("IMPORTRANGE(""https://docs.google.com/spreadsheets/d/11923uPwbBZFjjGgGUA6NLw09EwE0CqkOc4q9oUmW1yo/edit?usp=sharing"",""เพชรบูรณ์!J244"")"),425)</f>
        <v>425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IFERROR(__xludf.DUMMYFUNCTION("IMPORTRANGE(""https://docs.google.com/spreadsheets/d/11923uPwbBZFjjGgGUA6NLw09EwE0CqkOc4q9oUmW1yo/edit?usp=sharing"",""เพชรบูรณ์!L244"")"),664130)</f>
        <v>664130</v>
      </c>
      <c r="M349" s="372"/>
      <c r="N349" s="372">
        <f ca="1">IFERROR(__xludf.DUMMYFUNCTION("IMPORTRANGE(""https://docs.google.com/spreadsheets/d/11923uPwbBZFjjGgGUA6NLw09EwE0CqkOc4q9oUmW1yo/edit?usp=sharing"",""เพชรบูรณ์!M244"")"),616520)</f>
        <v>616520</v>
      </c>
      <c r="O349" s="372">
        <f ca="1">+IF(L349&gt;0,N349*100/L349,0)</f>
        <v>92.831222802764515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IFERROR(__xludf.DUMMYFUNCTION("IMPORTRANGE(""https://docs.google.com/spreadsheets/d/11923uPwbBZFjjGgGUA6NLw09EwE0CqkOc4q9oUmW1yo/edit?usp=sharing"",""เพชรบูรณ์!I245"")"),95)</f>
        <v>95</v>
      </c>
      <c r="J350" s="370">
        <f ca="1">IFERROR(__xludf.DUMMYFUNCTION("IMPORTRANGE(""https://docs.google.com/spreadsheets/d/11923uPwbBZFjjGgGUA6NLw09EwE0CqkOc4q9oUmW1yo/edit?usp=sharing"",""เพชรบูรณ์!J245"")"),95)</f>
        <v>95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IFERROR(__xludf.DUMMYFUNCTION("IMPORTRANGE(""https://docs.google.com/spreadsheets/d/11923uPwbBZFjjGgGUA6NLw09EwE0CqkOc4q9oUmW1yo/edit?usp=sharing"",""เพชรบูรณ์!L246"")"),0)</f>
        <v>0</v>
      </c>
      <c r="M351" s="164"/>
      <c r="N351" s="164">
        <f ca="1">IFERROR(__xludf.DUMMYFUNCTION("IMPORTRANGE(""https://docs.google.com/spreadsheets/d/11923uPwbBZFjjGgGUA6NLw09EwE0CqkOc4q9oUmW1yo/edit?usp=sharing"",""เพชรบูรณ์!M246"")"),0)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IFERROR(__xludf.DUMMYFUNCTION("IMPORTRANGE(""https://docs.google.com/spreadsheets/d/11923uPwbBZFjjGgGUA6NLw09EwE0CqkOc4q9oUmW1yo/edit?usp=sharing"",""เพชรบูรณ์!L247"")"),664130)</f>
        <v>664130</v>
      </c>
      <c r="M352" s="165"/>
      <c r="N352" s="164">
        <f ca="1">IFERROR(__xludf.DUMMYFUNCTION("IMPORTRANGE(""https://docs.google.com/spreadsheets/d/11923uPwbBZFjjGgGUA6NLw09EwE0CqkOc4q9oUmW1yo/edit?usp=sharing"",""เพชรบูรณ์!M247"")"),616520)</f>
        <v>616520</v>
      </c>
      <c r="O352" s="165">
        <f t="shared" ca="1" si="105"/>
        <v>92.831222802764515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IFERROR(__xludf.DUMMYFUNCTION("IMPORTRANGE(""https://docs.google.com/spreadsheets/d/11923uPwbBZFjjGgGUA6NLw09EwE0CqkOc4q9oUmW1yo/edit?usp=sharing"",""เพชรบูรณ์!L248"")"),0)</f>
        <v>0</v>
      </c>
      <c r="M353" s="168"/>
      <c r="N353" s="168">
        <f ca="1">IFERROR(__xludf.DUMMYFUNCTION("IMPORTRANGE(""https://docs.google.com/spreadsheets/d/11923uPwbBZFjjGgGUA6NLw09EwE0CqkOc4q9oUmW1yo/edit?usp=sharing"",""เพชรบูรณ์!M248"")"),0)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IFERROR(__xludf.DUMMYFUNCTION("IMPORTRANGE(""https://docs.google.com/spreadsheets/d/11923uPwbBZFjjGgGUA6NLw09EwE0CqkOc4q9oUmW1yo/edit?usp=sharing"",""เพชรบูรณ์!L249"")"),664130)</f>
        <v>664130</v>
      </c>
      <c r="M354" s="168"/>
      <c r="N354" s="167">
        <f ca="1">IFERROR(__xludf.DUMMYFUNCTION("IMPORTRANGE(""https://docs.google.com/spreadsheets/d/11923uPwbBZFjjGgGUA6NLw09EwE0CqkOc4q9oUmW1yo/edit?usp=sharing"",""เพชรบูรณ์!M249"")"),616520)</f>
        <v>616520</v>
      </c>
      <c r="O354" s="168">
        <f t="shared" ca="1" si="105"/>
        <v>92.831222802764515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IFERROR(__xludf.DUMMYFUNCTION("IMPORTRANGE(""https://docs.google.com/spreadsheets/d/11923uPwbBZFjjGgGUA6NLw09EwE0CqkOc4q9oUmW1yo/edit?usp=sharing"",""เพชรบูรณ์!M250"")"),124390)</f>
        <v>124390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IFERROR(__xludf.DUMMYFUNCTION("IMPORTRANGE(""https://docs.google.com/spreadsheets/d/11923uPwbBZFjjGgGUA6NLw09EwE0CqkOc4q9oUmW1yo/edit?usp=sharing"",""เพชรบูรณ์!M251"")"),347500)</f>
        <v>347500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IFERROR(__xludf.DUMMYFUNCTION("IMPORTRANGE(""https://docs.google.com/spreadsheets/d/11923uPwbBZFjjGgGUA6NLw09EwE0CqkOc4q9oUmW1yo/edit?usp=sharing"",""เพชรบูรณ์!M252"")"),98248)</f>
        <v>98248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IFERROR(__xludf.DUMMYFUNCTION("IMPORTRANGE(""https://docs.google.com/spreadsheets/d/11923uPwbBZFjjGgGUA6NLw09EwE0CqkOc4q9oUmW1yo/edit?usp=sharing"",""เพชรบูรณ์!M253"")"),46382)</f>
        <v>46382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IFERROR(__xludf.DUMMYFUNCTION("IMPORTRANGE(""https://docs.google.com/spreadsheets/d/11923uPwbBZFjjGgGUA6NLw09EwE0CqkOc4q9oUmW1yo/edit?usp=sharing"",""เพชรบูรณ์!J255"")"),0)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IFERROR(__xludf.DUMMYFUNCTION("IMPORTRANGE(""https://docs.google.com/spreadsheets/d/11923uPwbBZFjjGgGUA6NLw09EwE0CqkOc4q9oUmW1yo/edit?usp=sharing"",""เพชรบูรณ์!J256"")"),1)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IFERROR(__xludf.DUMMYFUNCTION("IMPORTRANGE(""https://docs.google.com/spreadsheets/d/11923uPwbBZFjjGgGUA6NLw09EwE0CqkOc4q9oUmW1yo/edit?usp=sharing"",""เพชรบูรณ์!J257"")"),1)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IFERROR(__xludf.DUMMYFUNCTION("IMPORTRANGE(""https://docs.google.com/spreadsheets/d/11923uPwbBZFjjGgGUA6NLw09EwE0CqkOc4q9oUmW1yo/edit?usp=sharing"",""เพชรบูรณ์!J258"")"),1)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IFERROR(__xludf.DUMMYFUNCTION("IMPORTRANGE(""https://docs.google.com/spreadsheets/d/11923uPwbBZFjjGgGUA6NLw09EwE0CqkOc4q9oUmW1yo/edit?usp=sharing"",""เพชรบูรณ์!J166"")"),0)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IFERROR(__xludf.DUMMYFUNCTION("IMPORTRANGE(""https://docs.google.com/spreadsheets/d/11923uPwbBZFjjGgGUA6NLw09EwE0CqkOc4q9oUmW1yo/edit?usp=sharing"",""เพชรบูรณ์!J166"")"),0)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IFERROR(__xludf.DUMMYFUNCTION("IMPORTRANGE(""https://docs.google.com/spreadsheets/d/11923uPwbBZFjjGgGUA6NLw09EwE0CqkOc4q9oUmW1yo/edit?usp=sharing"",""เพชรบูรณ์!J166"")"),0)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IFERROR(__xludf.DUMMYFUNCTION("IMPORTRANGE(""https://docs.google.com/spreadsheets/d/11923uPwbBZFjjGgGUA6NLw09EwE0CqkOc4q9oUmW1yo/edit?usp=sharing"",""เพชรบูรณ์!J166"")"),0)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IFERROR(__xludf.DUMMYFUNCTION("IMPORTRANGE(""https://docs.google.com/spreadsheets/d/11923uPwbBZFjjGgGUA6NLw09EwE0CqkOc4q9oUmW1yo/edit?usp=sharing"",""เพชรบูรณ์!I263"")"),95)</f>
        <v>95</v>
      </c>
      <c r="J368" s="187">
        <f ca="1">IFERROR(__xludf.DUMMYFUNCTION("IMPORTRANGE(""https://docs.google.com/spreadsheets/d/11923uPwbBZFjjGgGUA6NLw09EwE0CqkOc4q9oUmW1yo/edit?usp=sharing"",""เพชรบูรณ์!J263"")"),95)</f>
        <v>95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IFERROR(__xludf.DUMMYFUNCTION("IMPORTRANGE(""https://docs.google.com/spreadsheets/d/11923uPwbBZFjjGgGUA6NLw09EwE0CqkOc4q9oUmW1yo/edit?usp=sharing"",""เพชรบูรณ์!I164"")"),0)</f>
        <v>0</v>
      </c>
      <c r="J369" s="203">
        <f ca="1">IFERROR(__xludf.DUMMYFUNCTION("IMPORTRANGE(""https://docs.google.com/spreadsheets/d/11923uPwbBZFjjGgGUA6NLw09EwE0CqkOc4q9oUmW1yo/edit?usp=sharing"",""เพชรบูรณ์!J164"")"),0)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IFERROR(__xludf.DUMMYFUNCTION("IMPORTRANGE(""https://docs.google.com/spreadsheets/d/11923uPwbBZFjjGgGUA6NLw09EwE0CqkOc4q9oUmW1yo/edit?usp=sharing"",""เพชรบูรณ์!I265"")"),95)</f>
        <v>95</v>
      </c>
      <c r="J370" s="203">
        <f ca="1">IFERROR(__xludf.DUMMYFUNCTION("IMPORTRANGE(""https://docs.google.com/spreadsheets/d/11923uPwbBZFjjGgGUA6NLw09EwE0CqkOc4q9oUmW1yo/edit?usp=sharing"",""เพชรบูรณ์!J265"")"),95)</f>
        <v>95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IFERROR(__xludf.DUMMYFUNCTION("IMPORTRANGE(""https://docs.google.com/spreadsheets/d/11923uPwbBZFjjGgGUA6NLw09EwE0CqkOc4q9oUmW1yo/edit?usp=sharing"",""เพชรบูรณ์!I164"")"),0)</f>
        <v>0</v>
      </c>
      <c r="J371" s="188">
        <f ca="1">IFERROR(__xludf.DUMMYFUNCTION("IMPORTRANGE(""https://docs.google.com/spreadsheets/d/11923uPwbBZFjjGgGUA6NLw09EwE0CqkOc4q9oUmW1yo/edit?usp=sharing"",""เพชรบูรณ์!J164"")"),0)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IFERROR(__xludf.DUMMYFUNCTION("IMPORTRANGE(""https://docs.google.com/spreadsheets/d/11923uPwbBZFjjGgGUA6NLw09EwE0CqkOc4q9oUmW1yo/edit?usp=sharing"",""เพชรบูรณ์!I267"")"),95)</f>
        <v>95</v>
      </c>
      <c r="J372" s="188">
        <f ca="1">IFERROR(__xludf.DUMMYFUNCTION("IMPORTRANGE(""https://docs.google.com/spreadsheets/d/11923uPwbBZFjjGgGUA6NLw09EwE0CqkOc4q9oUmW1yo/edit?usp=sharing"",""เพชรบูรณ์!J267"")"),95)</f>
        <v>95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IFERROR(__xludf.DUMMYFUNCTION("IMPORTRANGE(""https://docs.google.com/spreadsheets/d/11923uPwbBZFjjGgGUA6NLw09EwE0CqkOc4q9oUmW1yo/edit?usp=sharing"",""เพชรบูรณ์!I164"")"),0)</f>
        <v>0</v>
      </c>
      <c r="J373" s="203">
        <f ca="1">IFERROR(__xludf.DUMMYFUNCTION("IMPORTRANGE(""https://docs.google.com/spreadsheets/d/11923uPwbBZFjjGgGUA6NLw09EwE0CqkOc4q9oUmW1yo/edit?usp=sharing"",""เพชรบูรณ์!J164"")"),0)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IFERROR(__xludf.DUMMYFUNCTION("IMPORTRANGE(""https://docs.google.com/spreadsheets/d/11923uPwbBZFjjGgGUA6NLw09EwE0CqkOc4q9oUmW1yo/edit?usp=sharing"",""เพชรบูรณ์!I164"")"),0)</f>
        <v>0</v>
      </c>
      <c r="J374" s="187">
        <f ca="1">IFERROR(__xludf.DUMMYFUNCTION("IMPORTRANGE(""https://docs.google.com/spreadsheets/d/11923uPwbBZFjjGgGUA6NLw09EwE0CqkOc4q9oUmW1yo/edit?usp=sharing"",""เพชรบูรณ์!J164"")"),0)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IFERROR(__xludf.DUMMYFUNCTION("IMPORTRANGE(""https://docs.google.com/spreadsheets/d/11923uPwbBZFjjGgGUA6NLw09EwE0CqkOc4q9oUmW1yo/edit?usp=sharing"",""เพชรบูรณ์!I270"")"),425)</f>
        <v>425</v>
      </c>
      <c r="J375" s="187">
        <f ca="1">IFERROR(__xludf.DUMMYFUNCTION("IMPORTRANGE(""https://docs.google.com/spreadsheets/d/11923uPwbBZFjjGgGUA6NLw09EwE0CqkOc4q9oUmW1yo/edit?usp=sharing"",""เพชรบูรณ์!J270"")"),425)</f>
        <v>425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IFERROR(__xludf.DUMMYFUNCTION("IMPORTRANGE(""https://docs.google.com/spreadsheets/d/11923uPwbBZFjjGgGUA6NLw09EwE0CqkOc4q9oUmW1yo/edit?usp=sharing"",""เพชรบูรณ์!I271"")"),150)</f>
        <v>150</v>
      </c>
      <c r="J376" s="188">
        <f ca="1">IFERROR(__xludf.DUMMYFUNCTION("IMPORTRANGE(""https://docs.google.com/spreadsheets/d/11923uPwbBZFjjGgGUA6NLw09EwE0CqkOc4q9oUmW1yo/edit?usp=sharing"",""เพชรบูรณ์!J271"")"),150)</f>
        <v>150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IFERROR(__xludf.DUMMYFUNCTION("IMPORTRANGE(""https://docs.google.com/spreadsheets/d/11923uPwbBZFjjGgGUA6NLw09EwE0CqkOc4q9oUmW1yo/edit?usp=sharing"",""เพชรบูรณ์!I272"")"),275)</f>
        <v>275</v>
      </c>
      <c r="J377" s="203">
        <f ca="1">IFERROR(__xludf.DUMMYFUNCTION("IMPORTRANGE(""https://docs.google.com/spreadsheets/d/11923uPwbBZFjjGgGUA6NLw09EwE0CqkOc4q9oUmW1yo/edit?usp=sharing"",""เพชรบูรณ์!J272"")"),275)</f>
        <v>275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IFERROR(__xludf.DUMMYFUNCTION("IMPORTRANGE(""https://docs.google.com/spreadsheets/d/11923uPwbBZFjjGgGUA6NLw09EwE0CqkOc4q9oUmW1yo/edit?usp=sharing"",""เพชรบูรณ์!J273"")"),0)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IFERROR(__xludf.DUMMYFUNCTION("IMPORTRANGE(""https://docs.google.com/spreadsheets/d/11923uPwbBZFjjGgGUA6NLw09EwE0CqkOc4q9oUmW1yo/edit?usp=sharing"",""เพชรบูรณ์!J274"")"),0)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IFERROR(__xludf.DUMMYFUNCTION("IMPORTRANGE(""https://docs.google.com/spreadsheets/d/11923uPwbBZFjjGgGUA6NLw09EwE0CqkOc4q9oUmW1yo/edit?usp=sharing"",""เพชรบูรณ์!I275"")"),1000)</f>
        <v>1000</v>
      </c>
      <c r="J380" s="370">
        <f ca="1">IFERROR(__xludf.DUMMYFUNCTION("IMPORTRANGE(""https://docs.google.com/spreadsheets/d/11923uPwbBZFjjGgGUA6NLw09EwE0CqkOc4q9oUmW1yo/edit?usp=sharing"",""เพชรบูรณ์!J275"")"),0)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IFERROR(__xludf.DUMMYFUNCTION("IMPORTRANGE(""https://docs.google.com/spreadsheets/d/11923uPwbBZFjjGgGUA6NLw09EwE0CqkOc4q9oUmW1yo/edit?usp=sharing"",""เพชรบูรณ์!L275"")"),1028520)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IFERROR(__xludf.DUMMYFUNCTION("IMPORTRANGE(""https://docs.google.com/spreadsheets/d/11923uPwbBZFjjGgGUA6NLw09EwE0CqkOc4q9oUmW1yo/edit?usp=sharing"",""เพชรบูรณ์!M275"")"),334546)</f>
        <v>334546</v>
      </c>
      <c r="O380" s="372">
        <f ca="1">+IF(L380&gt;0,N380*100/L380,0)</f>
        <v>32.526931902150665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IFERROR(__xludf.DUMMYFUNCTION("IMPORTRANGE(""https://docs.google.com/spreadsheets/d/11923uPwbBZFjjGgGUA6NLw09EwE0CqkOc4q9oUmW1yo/edit?usp=sharing"",""เพชรบูรณ์!I276"")"),100)</f>
        <v>100</v>
      </c>
      <c r="J381" s="370">
        <f ca="1">IFERROR(__xludf.DUMMYFUNCTION("IMPORTRANGE(""https://docs.google.com/spreadsheets/d/11923uPwbBZFjjGgGUA6NLw09EwE0CqkOc4q9oUmW1yo/edit?usp=sharing"",""เพชรบูรณ์!J276"")"),100)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IFERROR(__xludf.DUMMYFUNCTION("IMPORTRANGE(""https://docs.google.com/spreadsheets/d/11923uPwbBZFjjGgGUA6NLw09EwE0CqkOc4q9oUmW1yo/edit?usp=sharing"",""เพชรบูรณ์!L277"")"),0)</f>
        <v>0</v>
      </c>
      <c r="M382" s="164"/>
      <c r="N382" s="164">
        <f ca="1">IFERROR(__xludf.DUMMYFUNCTION("IMPORTRANGE(""https://docs.google.com/spreadsheets/d/11923uPwbBZFjjGgGUA6NLw09EwE0CqkOc4q9oUmW1yo/edit?usp=sharing"",""เพชรบูรณ์!M277"")"),0)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IFERROR(__xludf.DUMMYFUNCTION("IMPORTRANGE(""https://docs.google.com/spreadsheets/d/11923uPwbBZFjjGgGUA6NLw09EwE0CqkOc4q9oUmW1yo/edit?usp=sharing"",""เพชรบูรณ์!L278"")"),1028520)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IFERROR(__xludf.DUMMYFUNCTION("IMPORTRANGE(""https://docs.google.com/spreadsheets/d/11923uPwbBZFjjGgGUA6NLw09EwE0CqkOc4q9oUmW1yo/edit?usp=sharing"",""เพชรบูรณ์!M278"")"),334546)</f>
        <v>334546</v>
      </c>
      <c r="O383" s="165">
        <f t="shared" ca="1" si="109"/>
        <v>32.526931902150665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IFERROR(__xludf.DUMMYFUNCTION("IMPORTRANGE(""https://docs.google.com/spreadsheets/d/11923uPwbBZFjjGgGUA6NLw09EwE0CqkOc4q9oUmW1yo/edit?usp=sharing"",""เพชรบูรณ์!L279"")"),0)</f>
        <v>0</v>
      </c>
      <c r="M384" s="168"/>
      <c r="N384" s="168">
        <f ca="1">IFERROR(__xludf.DUMMYFUNCTION("IMPORTRANGE(""https://docs.google.com/spreadsheets/d/11923uPwbBZFjjGgGUA6NLw09EwE0CqkOc4q9oUmW1yo/edit?usp=sharing"",""เพชรบูรณ์!M279"")"),0)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IFERROR(__xludf.DUMMYFUNCTION("IMPORTRANGE(""https://docs.google.com/spreadsheets/d/11923uPwbBZFjjGgGUA6NLw09EwE0CqkOc4q9oUmW1yo/edit?usp=sharing"",""เพชรบูรณ์!L280"")"),1028520)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IFERROR(__xludf.DUMMYFUNCTION("IMPORTRANGE(""https://docs.google.com/spreadsheets/d/11923uPwbBZFjjGgGUA6NLw09EwE0CqkOc4q9oUmW1yo/edit?usp=sharing"",""เพชรบูรณ์!M280"")"),334546)</f>
        <v>334546</v>
      </c>
      <c r="O385" s="168">
        <f t="shared" ca="1" si="109"/>
        <v>32.526931902150665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IFERROR(__xludf.DUMMYFUNCTION("IMPORTRANGE(""https://docs.google.com/spreadsheets/d/11923uPwbBZFjjGgGUA6NLw09EwE0CqkOc4q9oUmW1yo/edit?usp=sharing"",""เพชรบูรณ์!M281"")"),191738)</f>
        <v>191738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IFERROR(__xludf.DUMMYFUNCTION("IMPORTRANGE(""https://docs.google.com/spreadsheets/d/11923uPwbBZFjjGgGUA6NLw09EwE0CqkOc4q9oUmW1yo/edit?usp=sharing"",""เพชรบูรณ์!M282"")"),0)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IFERROR(__xludf.DUMMYFUNCTION("IMPORTRANGE(""https://docs.google.com/spreadsheets/d/11923uPwbBZFjjGgGUA6NLw09EwE0CqkOc4q9oUmW1yo/edit?usp=sharing"",""เพชรบูรณ์!M283"")"),98248)</f>
        <v>98248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IFERROR(__xludf.DUMMYFUNCTION("IMPORTRANGE(""https://docs.google.com/spreadsheets/d/11923uPwbBZFjjGgGUA6NLw09EwE0CqkOc4q9oUmW1yo/edit?usp=sharing"",""เพชรบูรณ์!M284"")"),44560)</f>
        <v>44560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IFERROR(__xludf.DUMMYFUNCTION("IMPORTRANGE(""https://docs.google.com/spreadsheets/d/11923uPwbBZFjjGgGUA6NLw09EwE0CqkOc4q9oUmW1yo/edit?usp=sharing"",""เพชรบูรณ์!J286"")"),0)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IFERROR(__xludf.DUMMYFUNCTION("IMPORTRANGE(""https://docs.google.com/spreadsheets/d/11923uPwbBZFjjGgGUA6NLw09EwE0CqkOc4q9oUmW1yo/edit?usp=sharing"",""เพชรบูรณ์!J287"")"),1)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IFERROR(__xludf.DUMMYFUNCTION("IMPORTRANGE(""https://docs.google.com/spreadsheets/d/11923uPwbBZFjjGgGUA6NLw09EwE0CqkOc4q9oUmW1yo/edit?usp=sharing"",""เพชรบูรณ์!J288"")"),1)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IFERROR(__xludf.DUMMYFUNCTION("IMPORTRANGE(""https://docs.google.com/spreadsheets/d/11923uPwbBZFjjGgGUA6NLw09EwE0CqkOc4q9oUmW1yo/edit?usp=sharing"",""เพชรบูรณ์!J289"")"),1)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IFERROR(__xludf.DUMMYFUNCTION("IMPORTRANGE(""https://docs.google.com/spreadsheets/d/11923uPwbBZFjjGgGUA6NLw09EwE0CqkOc4q9oUmW1yo/edit?usp=sharing"",""เพชรบูรณ์!I291"")"),100)</f>
        <v>100</v>
      </c>
      <c r="J396" s="197">
        <f ca="1">IFERROR(__xludf.DUMMYFUNCTION("IMPORTRANGE(""https://docs.google.com/spreadsheets/d/11923uPwbBZFjjGgGUA6NLw09EwE0CqkOc4q9oUmW1yo/edit?usp=sharing"",""เพชรบูรณ์!J291"")"),100)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IFERROR(__xludf.DUMMYFUNCTION("IMPORTRANGE(""https://docs.google.com/spreadsheets/d/11923uPwbBZFjjGgGUA6NLw09EwE0CqkOc4q9oUmW1yo/edit?usp=sharing"",""เพชรบูรณ์!I292"")"),1000)</f>
        <v>1000</v>
      </c>
      <c r="J397" s="197">
        <f ca="1">IFERROR(__xludf.DUMMYFUNCTION("IMPORTRANGE(""https://docs.google.com/spreadsheets/d/11923uPwbBZFjjGgGUA6NLw09EwE0CqkOc4q9oUmW1yo/edit?usp=sharing"",""เพชรบูรณ์!J292"")"),0)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IFERROR(__xludf.DUMMYFUNCTION("IMPORTRANGE(""https://docs.google.com/spreadsheets/d/11923uPwbBZFjjGgGUA6NLw09EwE0CqkOc4q9oUmW1yo/edit?usp=sharing"",""เพชรบูรณ์!I293"")"),100)</f>
        <v>100</v>
      </c>
      <c r="J398" s="197">
        <f ca="1">IFERROR(__xludf.DUMMYFUNCTION("IMPORTRANGE(""https://docs.google.com/spreadsheets/d/11923uPwbBZFjjGgGUA6NLw09EwE0CqkOc4q9oUmW1yo/edit?usp=sharing"",""เพชรบูรณ์!J293"")"),0)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IFERROR(__xludf.DUMMYFUNCTION("IMPORTRANGE(""https://docs.google.com/spreadsheets/d/11923uPwbBZFjjGgGUA6NLw09EwE0CqkOc4q9oUmW1yo/edit?usp=sharing"",""เพชรบูรณ์!J294"")"),0)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IFERROR(__xludf.DUMMYFUNCTION("IMPORTRANGE(""https://docs.google.com/spreadsheets/d/11923uPwbBZFjjGgGUA6NLw09EwE0CqkOc4q9oUmW1yo/edit?usp=sharing"",""เพชรบูรณ์!J295"")"),0)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IFERROR(__xludf.DUMMYFUNCTION("IMPORTRANGE(""https://docs.google.com/spreadsheets/d/11923uPwbBZFjjGgGUA6NLw09EwE0CqkOc4q9oUmW1yo/edit?usp=sharing"",""เพชรบูรณ์!I296"")"),219)</f>
        <v>219</v>
      </c>
      <c r="J401" s="370">
        <f ca="1">IFERROR(__xludf.DUMMYFUNCTION("IMPORTRANGE(""https://docs.google.com/spreadsheets/d/11923uPwbBZFjjGgGUA6NLw09EwE0CqkOc4q9oUmW1yo/edit?usp=sharing"",""เพชรบูรณ์!J296"")"),219)</f>
        <v>219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IFERROR(__xludf.DUMMYFUNCTION("IMPORTRANGE(""https://docs.google.com/spreadsheets/d/11923uPwbBZFjjGgGUA6NLw09EwE0CqkOc4q9oUmW1yo/edit?usp=sharing"",""เพชรบูรณ์!L296"")"),244540)</f>
        <v>244540</v>
      </c>
      <c r="M401" s="372"/>
      <c r="N401" s="372">
        <f ca="1">IFERROR(__xludf.DUMMYFUNCTION("IMPORTRANGE(""https://docs.google.com/spreadsheets/d/11923uPwbBZFjjGgGUA6NLw09EwE0CqkOc4q9oUmW1yo/edit?usp=sharing"",""เพชรบูรณ์!M296"")"),228220)</f>
        <v>228220</v>
      </c>
      <c r="O401" s="372">
        <f ca="1">+IF(L401&gt;0,N401*100/L401,0)</f>
        <v>93.32624519506011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IFERROR(__xludf.DUMMYFUNCTION("IMPORTRANGE(""https://docs.google.com/spreadsheets/d/11923uPwbBZFjjGgGUA6NLw09EwE0CqkOc4q9oUmW1yo/edit?usp=sharing"",""เพชรบูรณ์!I297"")"),73)</f>
        <v>73</v>
      </c>
      <c r="J402" s="370">
        <f ca="1">IFERROR(__xludf.DUMMYFUNCTION("IMPORTRANGE(""https://docs.google.com/spreadsheets/d/11923uPwbBZFjjGgGUA6NLw09EwE0CqkOc4q9oUmW1yo/edit?usp=sharing"",""เพชรบูรณ์!J297"")"),73)</f>
        <v>73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IFERROR(__xludf.DUMMYFUNCTION("IMPORTRANGE(""https://docs.google.com/spreadsheets/d/11923uPwbBZFjjGgGUA6NLw09EwE0CqkOc4q9oUmW1yo/edit?usp=sharing"",""เพชรบูรณ์!L298"")"),0)</f>
        <v>0</v>
      </c>
      <c r="M403" s="164"/>
      <c r="N403" s="168">
        <f ca="1">IFERROR(__xludf.DUMMYFUNCTION("IMPORTRANGE(""https://docs.google.com/spreadsheets/d/11923uPwbBZFjjGgGUA6NLw09EwE0CqkOc4q9oUmW1yo/edit?usp=sharing"",""เพชรบูรณ์!M298"")"),0)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IFERROR(__xludf.DUMMYFUNCTION("IMPORTRANGE(""https://docs.google.com/spreadsheets/d/11923uPwbBZFjjGgGUA6NLw09EwE0CqkOc4q9oUmW1yo/edit?usp=sharing"",""เพชรบูรณ์!L299"")"),244540)</f>
        <v>244540</v>
      </c>
      <c r="M404" s="165"/>
      <c r="N404" s="168">
        <f ca="1">IFERROR(__xludf.DUMMYFUNCTION("IMPORTRANGE(""https://docs.google.com/spreadsheets/d/11923uPwbBZFjjGgGUA6NLw09EwE0CqkOc4q9oUmW1yo/edit?usp=sharing"",""เพชรบูรณ์!M299"")"),228220)</f>
        <v>228220</v>
      </c>
      <c r="O404" s="168">
        <f t="shared" ca="1" si="112"/>
        <v>93.32624519506011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IFERROR(__xludf.DUMMYFUNCTION("IMPORTRANGE(""https://docs.google.com/spreadsheets/d/11923uPwbBZFjjGgGUA6NLw09EwE0CqkOc4q9oUmW1yo/edit?usp=sharing"",""เพชรบูรณ์!L300"")"),0)</f>
        <v>0</v>
      </c>
      <c r="M405" s="168"/>
      <c r="N405" s="168">
        <f ca="1">IFERROR(__xludf.DUMMYFUNCTION("IMPORTRANGE(""https://docs.google.com/spreadsheets/d/11923uPwbBZFjjGgGUA6NLw09EwE0CqkOc4q9oUmW1yo/edit?usp=sharing"",""เพชรบูรณ์!M300"")"),0)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IFERROR(__xludf.DUMMYFUNCTION("IMPORTRANGE(""https://docs.google.com/spreadsheets/d/11923uPwbBZFjjGgGUA6NLw09EwE0CqkOc4q9oUmW1yo/edit?usp=sharing"",""เพชรบูรณ์!L301"")"),244540)</f>
        <v>244540</v>
      </c>
      <c r="M406" s="168"/>
      <c r="N406" s="168">
        <f ca="1">IFERROR(__xludf.DUMMYFUNCTION("IMPORTRANGE(""https://docs.google.com/spreadsheets/d/11923uPwbBZFjjGgGUA6NLw09EwE0CqkOc4q9oUmW1yo/edit?usp=sharing"",""เพชรบูรณ์!M301"")"),228220)</f>
        <v>228220</v>
      </c>
      <c r="O406" s="168">
        <f t="shared" ca="1" si="112"/>
        <v>93.32624519506011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IFERROR(__xludf.DUMMYFUNCTION("IMPORTRANGE(""https://docs.google.com/spreadsheets/d/11923uPwbBZFjjGgGUA6NLw09EwE0CqkOc4q9oUmW1yo/edit?usp=sharing"",""เพชรบูรณ์!M302"")"),142400)</f>
        <v>142400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IFERROR(__xludf.DUMMYFUNCTION("IMPORTRANGE(""https://docs.google.com/spreadsheets/d/11923uPwbBZFjjGgGUA6NLw09EwE0CqkOc4q9oUmW1yo/edit?usp=sharing"",""เพชรบูรณ์!M303"")"),64100)</f>
        <v>64100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IFERROR(__xludf.DUMMYFUNCTION("IMPORTRANGE(""https://docs.google.com/spreadsheets/d/11923uPwbBZFjjGgGUA6NLw09EwE0CqkOc4q9oUmW1yo/edit?usp=sharing"",""เพชรบูรณ์!M304"")"),0)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IFERROR(__xludf.DUMMYFUNCTION("IMPORTRANGE(""https://docs.google.com/spreadsheets/d/11923uPwbBZFjjGgGUA6NLw09EwE0CqkOc4q9oUmW1yo/edit?usp=sharing"",""เพชรบูรณ์!M305"")"),21720)</f>
        <v>21720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IFERROR(__xludf.DUMMYFUNCTION("IMPORTRANGE(""https://docs.google.com/spreadsheets/d/11923uPwbBZFjjGgGUA6NLw09EwE0CqkOc4q9oUmW1yo/edit?usp=sharing"",""เพชรบูรณ์!J307"")"),0)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IFERROR(__xludf.DUMMYFUNCTION("IMPORTRANGE(""https://docs.google.com/spreadsheets/d/11923uPwbBZFjjGgGUA6NLw09EwE0CqkOc4q9oUmW1yo/edit?usp=sharing"",""เพชรบูรณ์!J308"")"),1)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IFERROR(__xludf.DUMMYFUNCTION("IMPORTRANGE(""https://docs.google.com/spreadsheets/d/11923uPwbBZFjjGgGUA6NLw09EwE0CqkOc4q9oUmW1yo/edit?usp=sharing"",""เพชรบูรณ์!J309"")"),1)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IFERROR(__xludf.DUMMYFUNCTION("IMPORTRANGE(""https://docs.google.com/spreadsheets/d/11923uPwbBZFjjGgGUA6NLw09EwE0CqkOc4q9oUmW1yo/edit?usp=sharing"",""เพชรบูรณ์!J310"")"),1)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IFERROR(__xludf.DUMMYFUNCTION("IMPORTRANGE(""https://docs.google.com/spreadsheets/d/11923uPwbBZFjjGgGUA6NLw09EwE0CqkOc4q9oUmW1yo/edit?usp=sharing"",""เพชรบูรณ์!I311"")"),73)</f>
        <v>73</v>
      </c>
      <c r="J416" s="200">
        <f ca="1">IFERROR(__xludf.DUMMYFUNCTION("IMPORTRANGE(""https://docs.google.com/spreadsheets/d/11923uPwbBZFjjGgGUA6NLw09EwE0CqkOc4q9oUmW1yo/edit?usp=sharing"",""เพชรบูรณ์!J311"")"),73)</f>
        <v>73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IFERROR(__xludf.DUMMYFUNCTION("IMPORTRANGE(""https://docs.google.com/spreadsheets/d/11923uPwbBZFjjGgGUA6NLw09EwE0CqkOc4q9oUmW1yo/edit?usp=sharing"",""เพชรบูรณ์!I312"")"),25)</f>
        <v>25</v>
      </c>
      <c r="J417" s="391">
        <f ca="1">IFERROR(__xludf.DUMMYFUNCTION("IMPORTRANGE(""https://docs.google.com/spreadsheets/d/11923uPwbBZFjjGgGUA6NLw09EwE0CqkOc4q9oUmW1yo/edit?usp=sharing"",""เพชรบูรณ์!J312"")"),25)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IFERROR(__xludf.DUMMYFUNCTION("IMPORTRANGE(""https://docs.google.com/spreadsheets/d/11923uPwbBZFjjGgGUA6NLw09EwE0CqkOc4q9oUmW1yo/edit?usp=sharing"",""เพชรบูรณ์!I313"")"),75)</f>
        <v>75</v>
      </c>
      <c r="J418" s="392">
        <f ca="1">IFERROR(__xludf.DUMMYFUNCTION("IMPORTRANGE(""https://docs.google.com/spreadsheets/d/11923uPwbBZFjjGgGUA6NLw09EwE0CqkOc4q9oUmW1yo/edit?usp=sharing"",""เพชรบูรณ์!J313"")"),75)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IFERROR(__xludf.DUMMYFUNCTION("IMPORTRANGE(""https://docs.google.com/spreadsheets/d/11923uPwbBZFjjGgGUA6NLw09EwE0CqkOc4q9oUmW1yo/edit?usp=sharing"",""เพชรบูรณ์!I314"")"),25)</f>
        <v>25</v>
      </c>
      <c r="J419" s="393">
        <f ca="1">IFERROR(__xludf.DUMMYFUNCTION("IMPORTRANGE(""https://docs.google.com/spreadsheets/d/11923uPwbBZFjjGgGUA6NLw09EwE0CqkOc4q9oUmW1yo/edit?usp=sharing"",""เพชรบูรณ์!J314"")"),25)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IFERROR(__xludf.DUMMYFUNCTION("IMPORTRANGE(""https://docs.google.com/spreadsheets/d/11923uPwbBZFjjGgGUA6NLw09EwE0CqkOc4q9oUmW1yo/edit?usp=sharing"",""เพชรบูรณ์!I315"")"),25)</f>
        <v>25</v>
      </c>
      <c r="J420" s="393">
        <f ca="1">IFERROR(__xludf.DUMMYFUNCTION("IMPORTRANGE(""https://docs.google.com/spreadsheets/d/11923uPwbBZFjjGgGUA6NLw09EwE0CqkOc4q9oUmW1yo/edit?usp=sharing"",""เพชรบูรณ์!J315"")"),25)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IFERROR(__xludf.DUMMYFUNCTION("IMPORTRANGE(""https://docs.google.com/spreadsheets/d/11923uPwbBZFjjGgGUA6NLw09EwE0CqkOc4q9oUmW1yo/edit?usp=sharing"",""เพชรบูรณ์!I316"")"),38)</f>
        <v>38</v>
      </c>
      <c r="J421" s="391">
        <f ca="1">IFERROR(__xludf.DUMMYFUNCTION("IMPORTRANGE(""https://docs.google.com/spreadsheets/d/11923uPwbBZFjjGgGUA6NLw09EwE0CqkOc4q9oUmW1yo/edit?usp=sharing"",""เพชรบูรณ์!J316"")"),38)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IFERROR(__xludf.DUMMYFUNCTION("IMPORTRANGE(""https://docs.google.com/spreadsheets/d/11923uPwbBZFjjGgGUA6NLw09EwE0CqkOc4q9oUmW1yo/edit?usp=sharing"",""เพชรบูรณ์!I317"")"),114)</f>
        <v>114</v>
      </c>
      <c r="J422" s="392">
        <f ca="1">IFERROR(__xludf.DUMMYFUNCTION("IMPORTRANGE(""https://docs.google.com/spreadsheets/d/11923uPwbBZFjjGgGUA6NLw09EwE0CqkOc4q9oUmW1yo/edit?usp=sharing"",""เพชรบูรณ์!J317"")"),114)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IFERROR(__xludf.DUMMYFUNCTION("IMPORTRANGE(""https://docs.google.com/spreadsheets/d/11923uPwbBZFjjGgGUA6NLw09EwE0CqkOc4q9oUmW1yo/edit?usp=sharing"",""เพชรบูรณ์!I318"")"),38)</f>
        <v>38</v>
      </c>
      <c r="J423" s="393">
        <f ca="1">IFERROR(__xludf.DUMMYFUNCTION("IMPORTRANGE(""https://docs.google.com/spreadsheets/d/11923uPwbBZFjjGgGUA6NLw09EwE0CqkOc4q9oUmW1yo/edit?usp=sharing"",""เพชรบูรณ์!J318"")"),38)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IFERROR(__xludf.DUMMYFUNCTION("IMPORTRANGE(""https://docs.google.com/spreadsheets/d/11923uPwbBZFjjGgGUA6NLw09EwE0CqkOc4q9oUmW1yo/edit?usp=sharing"",""เพชรบูรณ์!I319"")"),38)</f>
        <v>38</v>
      </c>
      <c r="J424" s="393">
        <f ca="1">IFERROR(__xludf.DUMMYFUNCTION("IMPORTRANGE(""https://docs.google.com/spreadsheets/d/11923uPwbBZFjjGgGUA6NLw09EwE0CqkOc4q9oUmW1yo/edit?usp=sharing"",""เพชรบูรณ์!J319"")"),38)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IFERROR(__xludf.DUMMYFUNCTION("IMPORTRANGE(""https://docs.google.com/spreadsheets/d/11923uPwbBZFjjGgGUA6NLw09EwE0CqkOc4q9oUmW1yo/edit?usp=sharing"",""เพชรบูรณ์!I320"")"),38)</f>
        <v>38</v>
      </c>
      <c r="J425" s="393">
        <f ca="1">IFERROR(__xludf.DUMMYFUNCTION("IMPORTRANGE(""https://docs.google.com/spreadsheets/d/11923uPwbBZFjjGgGUA6NLw09EwE0CqkOc4q9oUmW1yo/edit?usp=sharing"",""เพชรบูรณ์!J320"")"),38)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IFERROR(__xludf.DUMMYFUNCTION("IMPORTRANGE(""https://docs.google.com/spreadsheets/d/11923uPwbBZFjjGgGUA6NLw09EwE0CqkOc4q9oUmW1yo/edit?usp=sharing"",""เพชรบูรณ์!I321"")"),10)</f>
        <v>10</v>
      </c>
      <c r="J426" s="391">
        <f ca="1">IFERROR(__xludf.DUMMYFUNCTION("IMPORTRANGE(""https://docs.google.com/spreadsheets/d/11923uPwbBZFjjGgGUA6NLw09EwE0CqkOc4q9oUmW1yo/edit?usp=sharing"",""เพชรบูรณ์!J321"")"),10)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IFERROR(__xludf.DUMMYFUNCTION("IMPORTRANGE(""https://docs.google.com/spreadsheets/d/11923uPwbBZFjjGgGUA6NLw09EwE0CqkOc4q9oUmW1yo/edit?usp=sharing"",""เพชรบูรณ์!I322"")"),30)</f>
        <v>30</v>
      </c>
      <c r="J427" s="392">
        <f ca="1">IFERROR(__xludf.DUMMYFUNCTION("IMPORTRANGE(""https://docs.google.com/spreadsheets/d/11923uPwbBZFjjGgGUA6NLw09EwE0CqkOc4q9oUmW1yo/edit?usp=sharing"",""เพชรบูรณ์!J322"")"),30)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IFERROR(__xludf.DUMMYFUNCTION("IMPORTRANGE(""https://docs.google.com/spreadsheets/d/11923uPwbBZFjjGgGUA6NLw09EwE0CqkOc4q9oUmW1yo/edit?usp=sharing"",""เพชรบูรณ์!I323"")"),10)</f>
        <v>10</v>
      </c>
      <c r="J428" s="393">
        <f ca="1">IFERROR(__xludf.DUMMYFUNCTION("IMPORTRANGE(""https://docs.google.com/spreadsheets/d/11923uPwbBZFjjGgGUA6NLw09EwE0CqkOc4q9oUmW1yo/edit?usp=sharing"",""เพชรบูรณ์!J323"")"),10)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IFERROR(__xludf.DUMMYFUNCTION("IMPORTRANGE(""https://docs.google.com/spreadsheets/d/11923uPwbBZFjjGgGUA6NLw09EwE0CqkOc4q9oUmW1yo/edit?usp=sharing"",""เพชรบูรณ์!I324"")"),10)</f>
        <v>10</v>
      </c>
      <c r="J429" s="393">
        <f ca="1">IFERROR(__xludf.DUMMYFUNCTION("IMPORTRANGE(""https://docs.google.com/spreadsheets/d/11923uPwbBZFjjGgGUA6NLw09EwE0CqkOc4q9oUmW1yo/edit?usp=sharing"",""เพชรบูรณ์!J324"")"),10)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IFERROR(__xludf.DUMMYFUNCTION("IMPORTRANGE(""https://docs.google.com/spreadsheets/d/11923uPwbBZFjjGgGUA6NLw09EwE0CqkOc4q9oUmW1yo/edit?usp=sharing"",""เพชรบูรณ์!I325"")"),63)</f>
        <v>63</v>
      </c>
      <c r="J430" s="391">
        <f ca="1">IFERROR(__xludf.DUMMYFUNCTION("IMPORTRANGE(""https://docs.google.com/spreadsheets/d/11923uPwbBZFjjGgGUA6NLw09EwE0CqkOc4q9oUmW1yo/edit?usp=sharing"",""เพชรบูรณ์!J325"")"),63)</f>
        <v>63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IFERROR(__xludf.DUMMYFUNCTION("IMPORTRANGE(""https://docs.google.com/spreadsheets/d/11923uPwbBZFjjGgGUA6NLw09EwE0CqkOc4q9oUmW1yo/edit?usp=sharing"",""เพชรบูรณ์!I326"")"),25)</f>
        <v>25</v>
      </c>
      <c r="J431" s="393">
        <f ca="1">IFERROR(__xludf.DUMMYFUNCTION("IMPORTRANGE(""https://docs.google.com/spreadsheets/d/11923uPwbBZFjjGgGUA6NLw09EwE0CqkOc4q9oUmW1yo/edit?usp=sharing"",""เพชรบูรณ์!J326"")"),25)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IFERROR(__xludf.DUMMYFUNCTION("IMPORTRANGE(""https://docs.google.com/spreadsheets/d/11923uPwbBZFjjGgGUA6NLw09EwE0CqkOc4q9oUmW1yo/edit?usp=sharing"",""เพชรบูรณ์!I327"")"),38)</f>
        <v>38</v>
      </c>
      <c r="J432" s="393">
        <f ca="1">IFERROR(__xludf.DUMMYFUNCTION("IMPORTRANGE(""https://docs.google.com/spreadsheets/d/11923uPwbBZFjjGgGUA6NLw09EwE0CqkOc4q9oUmW1yo/edit?usp=sharing"",""เพชรบูรณ์!J327"")"),38)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IFERROR(__xludf.DUMMYFUNCTION("IMPORTRANGE(""https://docs.google.com/spreadsheets/d/11923uPwbBZFjjGgGUA6NLw09EwE0CqkOc4q9oUmW1yo/edit?usp=sharing"",""เพชรบูรณ์!J328"")"),0)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IFERROR(__xludf.DUMMYFUNCTION("IMPORTRANGE(""https://docs.google.com/spreadsheets/d/11923uPwbBZFjjGgGUA6NLw09EwE0CqkOc4q9oUmW1yo/edit?usp=sharing"",""เพชรบูรณ์!J329"")"),0)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IFERROR(__xludf.DUMMYFUNCTION("IMPORTRANGE(""https://docs.google.com/spreadsheets/d/11923uPwbBZFjjGgGUA6NLw09EwE0CqkOc4q9oUmW1yo/edit?usp=sharing"",""เพชรบูรณ์!I330"")"),40)</f>
        <v>40</v>
      </c>
      <c r="J435" s="409">
        <f ca="1">IFERROR(__xludf.DUMMYFUNCTION("IMPORTRANGE(""https://docs.google.com/spreadsheets/d/11923uPwbBZFjjGgGUA6NLw09EwE0CqkOc4q9oUmW1yo/edit?usp=sharing"",""เพชรบูรณ์!J330"")"),40)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IFERROR(__xludf.DUMMYFUNCTION("IMPORTRANGE(""https://docs.google.com/spreadsheets/d/11923uPwbBZFjjGgGUA6NLw09EwE0CqkOc4q9oUmW1yo/edit?usp=sharing"",""เพชรบูรณ์!L330"")"),162000)</f>
        <v>162000</v>
      </c>
      <c r="M435" s="411"/>
      <c r="N435" s="411">
        <f ca="1">IFERROR(__xludf.DUMMYFUNCTION("IMPORTRANGE(""https://docs.google.com/spreadsheets/d/11923uPwbBZFjjGgGUA6NLw09EwE0CqkOc4q9oUmW1yo/edit?usp=sharing"",""เพชรบูรณ์!M330"")"),128149)</f>
        <v>128149</v>
      </c>
      <c r="O435" s="411">
        <f t="shared" ref="O435:O439" ca="1" si="114">+IF(L435&gt;0,N435*100/L435,0)</f>
        <v>79.104320987654319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IFERROR(__xludf.DUMMYFUNCTION("IMPORTRANGE(""https://docs.google.com/spreadsheets/d/11923uPwbBZFjjGgGUA6NLw09EwE0CqkOc4q9oUmW1yo/edit?usp=sharing"",""เพชรบูรณ์!L331"")"),0)</f>
        <v>0</v>
      </c>
      <c r="M436" s="164"/>
      <c r="N436" s="168">
        <f ca="1">IFERROR(__xludf.DUMMYFUNCTION("IMPORTRANGE(""https://docs.google.com/spreadsheets/d/11923uPwbBZFjjGgGUA6NLw09EwE0CqkOc4q9oUmW1yo/edit?usp=sharing"",""เพชรบูรณ์!M331"")"),0)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IFERROR(__xludf.DUMMYFUNCTION("IMPORTRANGE(""https://docs.google.com/spreadsheets/d/11923uPwbBZFjjGgGUA6NLw09EwE0CqkOc4q9oUmW1yo/edit?usp=sharing"",""เพชรบูรณ์!L332"")"),162000)</f>
        <v>162000</v>
      </c>
      <c r="M437" s="165"/>
      <c r="N437" s="168">
        <f ca="1">IFERROR(__xludf.DUMMYFUNCTION("IMPORTRANGE(""https://docs.google.com/spreadsheets/d/11923uPwbBZFjjGgGUA6NLw09EwE0CqkOc4q9oUmW1yo/edit?usp=sharing"",""เพชรบูรณ์!M332"")"),128149)</f>
        <v>128149</v>
      </c>
      <c r="O437" s="168">
        <f t="shared" ca="1" si="114"/>
        <v>79.104320987654319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IFERROR(__xludf.DUMMYFUNCTION("IMPORTRANGE(""https://docs.google.com/spreadsheets/d/11923uPwbBZFjjGgGUA6NLw09EwE0CqkOc4q9oUmW1yo/edit?usp=sharing"",""เพชรบูรณ์!L333"")"),0)</f>
        <v>0</v>
      </c>
      <c r="M438" s="168"/>
      <c r="N438" s="168">
        <f ca="1">IFERROR(__xludf.DUMMYFUNCTION("IMPORTRANGE(""https://docs.google.com/spreadsheets/d/11923uPwbBZFjjGgGUA6NLw09EwE0CqkOc4q9oUmW1yo/edit?usp=sharing"",""เพชรบูรณ์!M333"")"),0)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IFERROR(__xludf.DUMMYFUNCTION("IMPORTRANGE(""https://docs.google.com/spreadsheets/d/11923uPwbBZFjjGgGUA6NLw09EwE0CqkOc4q9oUmW1yo/edit?usp=sharing"",""เพชรบูรณ์!L334"")"),162000)</f>
        <v>162000</v>
      </c>
      <c r="M439" s="168"/>
      <c r="N439" s="168">
        <f ca="1">IFERROR(__xludf.DUMMYFUNCTION("IMPORTRANGE(""https://docs.google.com/spreadsheets/d/11923uPwbBZFjjGgGUA6NLw09EwE0CqkOc4q9oUmW1yo/edit?usp=sharing"",""เพชรบูรณ์!M334"")"),128149)</f>
        <v>128149</v>
      </c>
      <c r="O439" s="168">
        <f t="shared" ca="1" si="114"/>
        <v>79.104320987654319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IFERROR(__xludf.DUMMYFUNCTION("IMPORTRANGE(""https://docs.google.com/spreadsheets/d/11923uPwbBZFjjGgGUA6NLw09EwE0CqkOc4q9oUmW1yo/edit?usp=sharing"",""เพชรบูรณ์!M335"")"),96439)</f>
        <v>96439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IFERROR(__xludf.DUMMYFUNCTION("IMPORTRANGE(""https://docs.google.com/spreadsheets/d/11923uPwbBZFjjGgGUA6NLw09EwE0CqkOc4q9oUmW1yo/edit?usp=sharing"",""เพชรบูรณ์!M336"")"),0)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IFERROR(__xludf.DUMMYFUNCTION("IMPORTRANGE(""https://docs.google.com/spreadsheets/d/11923uPwbBZFjjGgGUA6NLw09EwE0CqkOc4q9oUmW1yo/edit?usp=sharing"",""เพชรบูรณ์!M337"")"),0)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IFERROR(__xludf.DUMMYFUNCTION("IMPORTRANGE(""https://docs.google.com/spreadsheets/d/11923uPwbBZFjjGgGUA6NLw09EwE0CqkOc4q9oUmW1yo/edit?usp=sharing"",""เพชรบูรณ์!M338"")"),31710)</f>
        <v>31710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IFERROR(__xludf.DUMMYFUNCTION("IMPORTRANGE(""https://docs.google.com/spreadsheets/d/11923uPwbBZFjjGgGUA6NLw09EwE0CqkOc4q9oUmW1yo/edit?usp=sharing"",""เพชรบูรณ์!J340"")"),0)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IFERROR(__xludf.DUMMYFUNCTION("IMPORTRANGE(""https://docs.google.com/spreadsheets/d/11923uPwbBZFjjGgGUA6NLw09EwE0CqkOc4q9oUmW1yo/edit?usp=sharing"",""เพชรบูรณ์!J341"")"),1)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IFERROR(__xludf.DUMMYFUNCTION("IMPORTRANGE(""https://docs.google.com/spreadsheets/d/11923uPwbBZFjjGgGUA6NLw09EwE0CqkOc4q9oUmW1yo/edit?usp=sharing"",""เพชรบูรณ์!J342"")"),1)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IFERROR(__xludf.DUMMYFUNCTION("IMPORTRANGE(""https://docs.google.com/spreadsheets/d/11923uPwbBZFjjGgGUA6NLw09EwE0CqkOc4q9oUmW1yo/edit?usp=sharing"",""เพชรบูรณ์!J343"")"),1)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IFERROR(__xludf.DUMMYFUNCTION("IMPORTRANGE(""https://docs.google.com/spreadsheets/d/11923uPwbBZFjjGgGUA6NLw09EwE0CqkOc4q9oUmW1yo/edit?usp=sharing"",""เพชรบูรณ์!I344"")"),40)</f>
        <v>40</v>
      </c>
      <c r="J449" s="200">
        <f ca="1">IFERROR(__xludf.DUMMYFUNCTION("IMPORTRANGE(""https://docs.google.com/spreadsheets/d/11923uPwbBZFjjGgGUA6NLw09EwE0CqkOc4q9oUmW1yo/edit?usp=sharing"",""เพชรบูรณ์!J344"")"),40)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IFERROR(__xludf.DUMMYFUNCTION("IMPORTRANGE(""https://docs.google.com/spreadsheets/d/11923uPwbBZFjjGgGUA6NLw09EwE0CqkOc4q9oUmW1yo/edit?usp=sharing"",""เพชรบูรณ์!I345"")"),40)</f>
        <v>40</v>
      </c>
      <c r="J450" s="188">
        <f ca="1">IFERROR(__xludf.DUMMYFUNCTION("IMPORTRANGE(""https://docs.google.com/spreadsheets/d/11923uPwbBZFjjGgGUA6NLw09EwE0CqkOc4q9oUmW1yo/edit?usp=sharing"",""เพชรบูรณ์!J345"")"),40)</f>
        <v>40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IFERROR(__xludf.DUMMYFUNCTION("IMPORTRANGE(""https://docs.google.com/spreadsheets/d/11923uPwbBZFjjGgGUA6NLw09EwE0CqkOc4q9oUmW1yo/edit?usp=sharing"",""เพชรบูรณ์!I346"")"),0)</f>
        <v>0</v>
      </c>
      <c r="J451" s="187">
        <f ca="1">IFERROR(__xludf.DUMMYFUNCTION("IMPORTRANGE(""https://docs.google.com/spreadsheets/d/11923uPwbBZFjjGgGUA6NLw09EwE0CqkOc4q9oUmW1yo/edit?usp=sharing"",""เพชรบูรณ์!J346"")"),0)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IFERROR(__xludf.DUMMYFUNCTION("IMPORTRANGE(""https://docs.google.com/spreadsheets/d/11923uPwbBZFjjGgGUA6NLw09EwE0CqkOc4q9oUmW1yo/edit?usp=sharing"",""เพชรบูรณ์!I347"")"),0)</f>
        <v>0</v>
      </c>
      <c r="J452" s="187">
        <f ca="1">IFERROR(__xludf.DUMMYFUNCTION("IMPORTRANGE(""https://docs.google.com/spreadsheets/d/11923uPwbBZFjjGgGUA6NLw09EwE0CqkOc4q9oUmW1yo/edit?usp=sharing"",""เพชรบูรณ์!J347"")"),0)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IFERROR(__xludf.DUMMYFUNCTION("IMPORTRANGE(""https://docs.google.com/spreadsheets/d/11923uPwbBZFjjGgGUA6NLw09EwE0CqkOc4q9oUmW1yo/edit?usp=sharing"",""เพชรบูรณ์!J348"")"),0)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IFERROR(__xludf.DUMMYFUNCTION("IMPORTRANGE(""https://docs.google.com/spreadsheets/d/11923uPwbBZFjjGgGUA6NLw09EwE0CqkOc4q9oUmW1yo/edit?usp=sharing"",""เพชรบูรณ์!J349"")"),0)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IFERROR(__xludf.DUMMYFUNCTION("IMPORTRANGE(""https://docs.google.com/spreadsheets/d/11923uPwbBZFjjGgGUA6NLw09EwE0CqkOc4q9oUmW1yo/edit?usp=sharing"",""เพชรบูรณ์!I350"")"),55704)</f>
        <v>55704</v>
      </c>
      <c r="J455" s="370">
        <f ca="1">IFERROR(__xludf.DUMMYFUNCTION("IMPORTRANGE(""https://docs.google.com/spreadsheets/d/11923uPwbBZFjjGgGUA6NLw09EwE0CqkOc4q9oUmW1yo/edit?usp=sharing"",""เพชรบูรณ์!J350"")"),55710)</f>
        <v>55710</v>
      </c>
      <c r="K455" s="371">
        <f ca="1">IF(I455&gt;0,J455*100/I455,0)</f>
        <v>100.01077121930203</v>
      </c>
      <c r="L455" s="372">
        <f ca="1">IFERROR(__xludf.DUMMYFUNCTION("IMPORTRANGE(""https://docs.google.com/spreadsheets/d/11923uPwbBZFjjGgGUA6NLw09EwE0CqkOc4q9oUmW1yo/edit?usp=sharing"",""เพชรบูรณ์!L350"")"),430776)</f>
        <v>430776</v>
      </c>
      <c r="M455" s="372"/>
      <c r="N455" s="372">
        <f ca="1">IFERROR(__xludf.DUMMYFUNCTION("IMPORTRANGE(""https://docs.google.com/spreadsheets/d/11923uPwbBZFjjGgGUA6NLw09EwE0CqkOc4q9oUmW1yo/edit?usp=sharing"",""เพชรบูรณ์!M350"")"),151472)</f>
        <v>151472</v>
      </c>
      <c r="O455" s="372">
        <f t="shared" ref="O455:O459" ca="1" si="116">+IF(L455&gt;0,N455*100/L455,0)</f>
        <v>35.162590302152395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IFERROR(__xludf.DUMMYFUNCTION("IMPORTRANGE(""https://docs.google.com/spreadsheets/d/11923uPwbBZFjjGgGUA6NLw09EwE0CqkOc4q9oUmW1yo/edit?usp=sharing"",""เพชรบูรณ์!L351"")"),0)</f>
        <v>0</v>
      </c>
      <c r="M456" s="164"/>
      <c r="N456" s="168">
        <f ca="1">IFERROR(__xludf.DUMMYFUNCTION("IMPORTRANGE(""https://docs.google.com/spreadsheets/d/11923uPwbBZFjjGgGUA6NLw09EwE0CqkOc4q9oUmW1yo/edit?usp=sharing"",""เพชรบูรณ์!M351"")"),0)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IFERROR(__xludf.DUMMYFUNCTION("IMPORTRANGE(""https://docs.google.com/spreadsheets/d/11923uPwbBZFjjGgGUA6NLw09EwE0CqkOc4q9oUmW1yo/edit?usp=sharing"",""เพชรบูรณ์!L352"")"),430776)</f>
        <v>430776</v>
      </c>
      <c r="M457" s="165"/>
      <c r="N457" s="168">
        <f ca="1">IFERROR(__xludf.DUMMYFUNCTION("IMPORTRANGE(""https://docs.google.com/spreadsheets/d/11923uPwbBZFjjGgGUA6NLw09EwE0CqkOc4q9oUmW1yo/edit?usp=sharing"",""เพชรบูรณ์!M352"")"),151472)</f>
        <v>151472</v>
      </c>
      <c r="O457" s="168">
        <f t="shared" ca="1" si="116"/>
        <v>35.162590302152395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IFERROR(__xludf.DUMMYFUNCTION("IMPORTRANGE(""https://docs.google.com/spreadsheets/d/11923uPwbBZFjjGgGUA6NLw09EwE0CqkOc4q9oUmW1yo/edit?usp=sharing"",""เพชรบูรณ์!L353"")"),0)</f>
        <v>0</v>
      </c>
      <c r="M458" s="168"/>
      <c r="N458" s="168">
        <f ca="1">IFERROR(__xludf.DUMMYFUNCTION("IMPORTRANGE(""https://docs.google.com/spreadsheets/d/11923uPwbBZFjjGgGUA6NLw09EwE0CqkOc4q9oUmW1yo/edit?usp=sharing"",""เพชรบูรณ์!M353"")"),0)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IFERROR(__xludf.DUMMYFUNCTION("IMPORTRANGE(""https://docs.google.com/spreadsheets/d/11923uPwbBZFjjGgGUA6NLw09EwE0CqkOc4q9oUmW1yo/edit?usp=sharing"",""เพชรบูรณ์!L354"")"),430776)</f>
        <v>430776</v>
      </c>
      <c r="M459" s="168"/>
      <c r="N459" s="168">
        <f ca="1">IFERROR(__xludf.DUMMYFUNCTION("IMPORTRANGE(""https://docs.google.com/spreadsheets/d/11923uPwbBZFjjGgGUA6NLw09EwE0CqkOc4q9oUmW1yo/edit?usp=sharing"",""เพชรบูรณ์!M354"")"),151472)</f>
        <v>151472</v>
      </c>
      <c r="O459" s="168">
        <f t="shared" ca="1" si="116"/>
        <v>35.162590302152395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IFERROR(__xludf.DUMMYFUNCTION("IMPORTRANGE(""https://docs.google.com/spreadsheets/d/11923uPwbBZFjjGgGUA6NLw09EwE0CqkOc4q9oUmW1yo/edit?usp=sharing"",""เพชรบูรณ์!M355"")"),0)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IFERROR(__xludf.DUMMYFUNCTION("IMPORTRANGE(""https://docs.google.com/spreadsheets/d/11923uPwbBZFjjGgGUA6NLw09EwE0CqkOc4q9oUmW1yo/edit?usp=sharing"",""เพชรบูรณ์!M356"")"),0)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IFERROR(__xludf.DUMMYFUNCTION("IMPORTRANGE(""https://docs.google.com/spreadsheets/d/11923uPwbBZFjjGgGUA6NLw09EwE0CqkOc4q9oUmW1yo/edit?usp=sharing"",""เพชรบูรณ์!M357"")"),0)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IFERROR(__xludf.DUMMYFUNCTION("IMPORTRANGE(""https://docs.google.com/spreadsheets/d/11923uPwbBZFjjGgGUA6NLw09EwE0CqkOc4q9oUmW1yo/edit?usp=sharing"",""เพชรบูรณ์!M358"")"),151472)</f>
        <v>151472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IFERROR(__xludf.DUMMYFUNCTION("IMPORTRANGE(""https://docs.google.com/spreadsheets/d/11923uPwbBZFjjGgGUA6NLw09EwE0CqkOc4q9oUmW1yo/edit?usp=sharing"",""เพชรบูรณ์!I359"")"),55704)</f>
        <v>55704</v>
      </c>
      <c r="J464" s="267">
        <f ca="1">IFERROR(__xludf.DUMMYFUNCTION("IMPORTRANGE(""https://docs.google.com/spreadsheets/d/11923uPwbBZFjjGgGUA6NLw09EwE0CqkOc4q9oUmW1yo/edit?usp=sharing"",""เพชรบูรณ์!J359"")"),55710)</f>
        <v>55710</v>
      </c>
      <c r="K464" s="268">
        <f t="shared" ref="K464:K515" ca="1" si="117">IF(I464&gt;0,J464*100/I464,0)</f>
        <v>100.01077121930203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IFERROR(__xludf.DUMMYFUNCTION("IMPORTRANGE(""https://docs.google.com/spreadsheets/d/11923uPwbBZFjjGgGUA6NLw09EwE0CqkOc4q9oUmW1yo/edit?usp=sharing"",""เพชรบูรณ์!I360"")"),55704)</f>
        <v>55704</v>
      </c>
      <c r="J465" s="420">
        <f ca="1">IFERROR(__xludf.DUMMYFUNCTION("IMPORTRANGE(""https://docs.google.com/spreadsheets/d/11923uPwbBZFjjGgGUA6NLw09EwE0CqkOc4q9oUmW1yo/edit?usp=sharing"",""เพชรบูรณ์!J360"")"),55710)</f>
        <v>55710</v>
      </c>
      <c r="K465" s="201">
        <f t="shared" ca="1" si="117"/>
        <v>100.01077121930203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IFERROR(__xludf.DUMMYFUNCTION("IMPORTRANGE(""https://docs.google.com/spreadsheets/d/11923uPwbBZFjjGgGUA6NLw09EwE0CqkOc4q9oUmW1yo/edit?usp=sharing"",""เพชรบูรณ์!I361"")"),3219)</f>
        <v>3219</v>
      </c>
      <c r="J466" s="420">
        <f ca="1">IFERROR(__xludf.DUMMYFUNCTION("IMPORTRANGE(""https://docs.google.com/spreadsheets/d/11923uPwbBZFjjGgGUA6NLw09EwE0CqkOc4q9oUmW1yo/edit?usp=sharing"",""เพชรบูรณ์!J361"")"),3219)</f>
        <v>3219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IFERROR(__xludf.DUMMYFUNCTION("IMPORTRANGE(""https://docs.google.com/spreadsheets/d/11923uPwbBZFjjGgGUA6NLw09EwE0CqkOc4q9oUmW1yo/edit?usp=sharing"",""เพชรบูรณ์!I362"")"),0)</f>
        <v>0</v>
      </c>
      <c r="J467" s="188">
        <f ca="1">IFERROR(__xludf.DUMMYFUNCTION("IMPORTRANGE(""https://docs.google.com/spreadsheets/d/11923uPwbBZFjjGgGUA6NLw09EwE0CqkOc4q9oUmW1yo/edit?usp=sharing"",""เพชรบูรณ์!J362"")"),34722)</f>
        <v>34722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IFERROR(__xludf.DUMMYFUNCTION("IMPORTRANGE(""https://docs.google.com/spreadsheets/d/11923uPwbBZFjjGgGUA6NLw09EwE0CqkOc4q9oUmW1yo/edit?usp=sharing"",""เพชรบูรณ์!I363"")"),0)</f>
        <v>0</v>
      </c>
      <c r="J468" s="188">
        <f ca="1">IFERROR(__xludf.DUMMYFUNCTION("IMPORTRANGE(""https://docs.google.com/spreadsheets/d/11923uPwbBZFjjGgGUA6NLw09EwE0CqkOc4q9oUmW1yo/edit?usp=sharing"",""เพชรบูรณ์!J363"")"),2238)</f>
        <v>2238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IFERROR(__xludf.DUMMYFUNCTION("IMPORTRANGE(""https://docs.google.com/spreadsheets/d/11923uPwbBZFjjGgGUA6NLw09EwE0CqkOc4q9oUmW1yo/edit?usp=sharing"",""เพชรบูรณ์!I364"")"),0)</f>
        <v>0</v>
      </c>
      <c r="J469" s="188">
        <f ca="1">IFERROR(__xludf.DUMMYFUNCTION("IMPORTRANGE(""https://docs.google.com/spreadsheets/d/11923uPwbBZFjjGgGUA6NLw09EwE0CqkOc4q9oUmW1yo/edit?usp=sharing"",""เพชรบูรณ์!J364"")"),19289)</f>
        <v>19289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IFERROR(__xludf.DUMMYFUNCTION("IMPORTRANGE(""https://docs.google.com/spreadsheets/d/11923uPwbBZFjjGgGUA6NLw09EwE0CqkOc4q9oUmW1yo/edit?usp=sharing"",""เพชรบูรณ์!I365"")"),0)</f>
        <v>0</v>
      </c>
      <c r="J470" s="188">
        <f ca="1">IFERROR(__xludf.DUMMYFUNCTION("IMPORTRANGE(""https://docs.google.com/spreadsheets/d/11923uPwbBZFjjGgGUA6NLw09EwE0CqkOc4q9oUmW1yo/edit?usp=sharing"",""เพชรบูรณ์!J365"")"),896)</f>
        <v>896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IFERROR(__xludf.DUMMYFUNCTION("IMPORTRANGE(""https://docs.google.com/spreadsheets/d/11923uPwbBZFjjGgGUA6NLw09EwE0CqkOc4q9oUmW1yo/edit?usp=sharing"",""เพชรบูรณ์!I366"")"),0)</f>
        <v>0</v>
      </c>
      <c r="J471" s="188">
        <f ca="1">IFERROR(__xludf.DUMMYFUNCTION("IMPORTRANGE(""https://docs.google.com/spreadsheets/d/11923uPwbBZFjjGgGUA6NLw09EwE0CqkOc4q9oUmW1yo/edit?usp=sharing"",""เพชรบูรณ์!J366"")"),1699)</f>
        <v>1699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IFERROR(__xludf.DUMMYFUNCTION("IMPORTRANGE(""https://docs.google.com/spreadsheets/d/11923uPwbBZFjjGgGUA6NLw09EwE0CqkOc4q9oUmW1yo/edit?usp=sharing"",""เพชรบูรณ์!I367"")"),0)</f>
        <v>0</v>
      </c>
      <c r="J472" s="188">
        <f ca="1">IFERROR(__xludf.DUMMYFUNCTION("IMPORTRANGE(""https://docs.google.com/spreadsheets/d/11923uPwbBZFjjGgGUA6NLw09EwE0CqkOc4q9oUmW1yo/edit?usp=sharing"",""เพชรบูรณ์!J367"")"),85)</f>
        <v>85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IFERROR(__xludf.DUMMYFUNCTION("IMPORTRANGE(""https://docs.google.com/spreadsheets/d/11923uPwbBZFjjGgGUA6NLw09EwE0CqkOc4q9oUmW1yo/edit?usp=sharing"",""เพชรบูรณ์!I368"")"),55704)</f>
        <v>55704</v>
      </c>
      <c r="J473" s="420">
        <f ca="1">IFERROR(__xludf.DUMMYFUNCTION("IMPORTRANGE(""https://docs.google.com/spreadsheets/d/11923uPwbBZFjjGgGUA6NLw09EwE0CqkOc4q9oUmW1yo/edit?usp=sharing"",""เพชรบูรณ์!J368"")"),55710)</f>
        <v>55710</v>
      </c>
      <c r="K473" s="201">
        <f t="shared" ca="1" si="117"/>
        <v>100.01077121930203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IFERROR(__xludf.DUMMYFUNCTION("IMPORTRANGE(""https://docs.google.com/spreadsheets/d/11923uPwbBZFjjGgGUA6NLw09EwE0CqkOc4q9oUmW1yo/edit?usp=sharing"",""เพชรบูรณ์!I369"")"),3219)</f>
        <v>3219</v>
      </c>
      <c r="J474" s="420">
        <f ca="1">IFERROR(__xludf.DUMMYFUNCTION("IMPORTRANGE(""https://docs.google.com/spreadsheets/d/11923uPwbBZFjjGgGUA6NLw09EwE0CqkOc4q9oUmW1yo/edit?usp=sharing"",""เพชรบูรณ์!J369"")"),3219)</f>
        <v>3219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IFERROR(__xludf.DUMMYFUNCTION("IMPORTRANGE(""https://docs.google.com/spreadsheets/d/11923uPwbBZFjjGgGUA6NLw09EwE0CqkOc4q9oUmW1yo/edit?usp=sharing"",""เพชรบูรณ์!I370"")"),0)</f>
        <v>0</v>
      </c>
      <c r="J475" s="188">
        <f ca="1">IFERROR(__xludf.DUMMYFUNCTION("IMPORTRANGE(""https://docs.google.com/spreadsheets/d/11923uPwbBZFjjGgGUA6NLw09EwE0CqkOc4q9oUmW1yo/edit?usp=sharing"",""เพชรบูรณ์!J370"")"),35956)</f>
        <v>35956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IFERROR(__xludf.DUMMYFUNCTION("IMPORTRANGE(""https://docs.google.com/spreadsheets/d/11923uPwbBZFjjGgGUA6NLw09EwE0CqkOc4q9oUmW1yo/edit?usp=sharing"",""เพชรบูรณ์!I371"")"),0)</f>
        <v>0</v>
      </c>
      <c r="J476" s="188">
        <f ca="1">IFERROR(__xludf.DUMMYFUNCTION("IMPORTRANGE(""https://docs.google.com/spreadsheets/d/11923uPwbBZFjjGgGUA6NLw09EwE0CqkOc4q9oUmW1yo/edit?usp=sharing"",""เพชรบูรณ์!J371"")"),2315)</f>
        <v>2315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IFERROR(__xludf.DUMMYFUNCTION("IMPORTRANGE(""https://docs.google.com/spreadsheets/d/11923uPwbBZFjjGgGUA6NLw09EwE0CqkOc4q9oUmW1yo/edit?usp=sharing"",""เพชรบูรณ์!I372"")"),0)</f>
        <v>0</v>
      </c>
      <c r="J477" s="188">
        <f ca="1">IFERROR(__xludf.DUMMYFUNCTION("IMPORTRANGE(""https://docs.google.com/spreadsheets/d/11923uPwbBZFjjGgGUA6NLw09EwE0CqkOc4q9oUmW1yo/edit?usp=sharing"",""เพชรบูรณ์!J372"")"),18014)</f>
        <v>18014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IFERROR(__xludf.DUMMYFUNCTION("IMPORTRANGE(""https://docs.google.com/spreadsheets/d/11923uPwbBZFjjGgGUA6NLw09EwE0CqkOc4q9oUmW1yo/edit?usp=sharing"",""เพชรบูรณ์!I373"")"),0)</f>
        <v>0</v>
      </c>
      <c r="J478" s="188">
        <f ca="1">IFERROR(__xludf.DUMMYFUNCTION("IMPORTRANGE(""https://docs.google.com/spreadsheets/d/11923uPwbBZFjjGgGUA6NLw09EwE0CqkOc4q9oUmW1yo/edit?usp=sharing"",""เพชรบูรณ์!J373"")"),820)</f>
        <v>820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IFERROR(__xludf.DUMMYFUNCTION("IMPORTRANGE(""https://docs.google.com/spreadsheets/d/11923uPwbBZFjjGgGUA6NLw09EwE0CqkOc4q9oUmW1yo/edit?usp=sharing"",""เพชรบูรณ์!I374"")"),0)</f>
        <v>0</v>
      </c>
      <c r="J479" s="188">
        <f ca="1">IFERROR(__xludf.DUMMYFUNCTION("IMPORTRANGE(""https://docs.google.com/spreadsheets/d/11923uPwbBZFjjGgGUA6NLw09EwE0CqkOc4q9oUmW1yo/edit?usp=sharing"",""เพชรบูรณ์!J374"")"),1740)</f>
        <v>1740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IFERROR(__xludf.DUMMYFUNCTION("IMPORTRANGE(""https://docs.google.com/spreadsheets/d/11923uPwbBZFjjGgGUA6NLw09EwE0CqkOc4q9oUmW1yo/edit?usp=sharing"",""เพชรบูรณ์!I375"")"),0)</f>
        <v>0</v>
      </c>
      <c r="J480" s="188">
        <f ca="1">IFERROR(__xludf.DUMMYFUNCTION("IMPORTRANGE(""https://docs.google.com/spreadsheets/d/11923uPwbBZFjjGgGUA6NLw09EwE0CqkOc4q9oUmW1yo/edit?usp=sharing"",""เพชรบูรณ์!J375"")"),84)</f>
        <v>84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IFERROR(__xludf.DUMMYFUNCTION("IMPORTRANGE(""https://docs.google.com/spreadsheets/d/11923uPwbBZFjjGgGUA6NLw09EwE0CqkOc4q9oUmW1yo/edit?usp=sharing"",""เพชรบูรณ์!I376"")"),55704)</f>
        <v>55704</v>
      </c>
      <c r="J481" s="420">
        <f ca="1">IFERROR(__xludf.DUMMYFUNCTION("IMPORTRANGE(""https://docs.google.com/spreadsheets/d/11923uPwbBZFjjGgGUA6NLw09EwE0CqkOc4q9oUmW1yo/edit?usp=sharing"",""เพชรบูรณ์!J376"")"),55710)</f>
        <v>55710</v>
      </c>
      <c r="K481" s="201">
        <f t="shared" ca="1" si="117"/>
        <v>100.01077121930203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IFERROR(__xludf.DUMMYFUNCTION("IMPORTRANGE(""https://docs.google.com/spreadsheets/d/11923uPwbBZFjjGgGUA6NLw09EwE0CqkOc4q9oUmW1yo/edit?usp=sharing"",""เพชรบูรณ์!I377"")"),3219)</f>
        <v>3219</v>
      </c>
      <c r="J482" s="420">
        <f ca="1">IFERROR(__xludf.DUMMYFUNCTION("IMPORTRANGE(""https://docs.google.com/spreadsheets/d/11923uPwbBZFjjGgGUA6NLw09EwE0CqkOc4q9oUmW1yo/edit?usp=sharing"",""เพชรบูรณ์!J377"")"),3219)</f>
        <v>3219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IFERROR(__xludf.DUMMYFUNCTION("IMPORTRANGE(""https://docs.google.com/spreadsheets/d/11923uPwbBZFjjGgGUA6NLw09EwE0CqkOc4q9oUmW1yo/edit?usp=sharing"",""เพชรบูรณ์!I378"")"),0)</f>
        <v>0</v>
      </c>
      <c r="J483" s="188">
        <f ca="1">IFERROR(__xludf.DUMMYFUNCTION("IMPORTRANGE(""https://docs.google.com/spreadsheets/d/11923uPwbBZFjjGgGUA6NLw09EwE0CqkOc4q9oUmW1yo/edit?usp=sharing"",""เพชรบูรณ์!J378"")"),43829)</f>
        <v>43829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IFERROR(__xludf.DUMMYFUNCTION("IMPORTRANGE(""https://docs.google.com/spreadsheets/d/11923uPwbBZFjjGgGUA6NLw09EwE0CqkOc4q9oUmW1yo/edit?usp=sharing"",""เพชรบูรณ์!I379"")"),0)</f>
        <v>0</v>
      </c>
      <c r="J484" s="188">
        <f ca="1">IFERROR(__xludf.DUMMYFUNCTION("IMPORTRANGE(""https://docs.google.com/spreadsheets/d/11923uPwbBZFjjGgGUA6NLw09EwE0CqkOc4q9oUmW1yo/edit?usp=sharing"",""เพชรบูรณ์!J379"")"),2663)</f>
        <v>2663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IFERROR(__xludf.DUMMYFUNCTION("IMPORTRANGE(""https://docs.google.com/spreadsheets/d/11923uPwbBZFjjGgGUA6NLw09EwE0CqkOc4q9oUmW1yo/edit?usp=sharing"",""เพชรบูรณ์!I380"")"),0)</f>
        <v>0</v>
      </c>
      <c r="J485" s="188">
        <f ca="1">IFERROR(__xludf.DUMMYFUNCTION("IMPORTRANGE(""https://docs.google.com/spreadsheets/d/11923uPwbBZFjjGgGUA6NLw09EwE0CqkOc4q9oUmW1yo/edit?usp=sharing"",""เพชรบูรณ์!J380"")"),149)</f>
        <v>149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IFERROR(__xludf.DUMMYFUNCTION("IMPORTRANGE(""https://docs.google.com/spreadsheets/d/11923uPwbBZFjjGgGUA6NLw09EwE0CqkOc4q9oUmW1yo/edit?usp=sharing"",""เพชรบูรณ์!I381"")"),0)</f>
        <v>0</v>
      </c>
      <c r="J486" s="188">
        <f ca="1">IFERROR(__xludf.DUMMYFUNCTION("IMPORTRANGE(""https://docs.google.com/spreadsheets/d/11923uPwbBZFjjGgGUA6NLw09EwE0CqkOc4q9oUmW1yo/edit?usp=sharing"",""เพชรบูรณ์!J381"")"),5)</f>
        <v>5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IFERROR(__xludf.DUMMYFUNCTION("IMPORTRANGE(""https://docs.google.com/spreadsheets/d/11923uPwbBZFjjGgGUA6NLw09EwE0CqkOc4q9oUmW1yo/edit?usp=sharing"",""เพชรบูรณ์!I382"")"),0)</f>
        <v>0</v>
      </c>
      <c r="J487" s="420">
        <f ca="1">IFERROR(__xludf.DUMMYFUNCTION("IMPORTRANGE(""https://docs.google.com/spreadsheets/d/11923uPwbBZFjjGgGUA6NLw09EwE0CqkOc4q9oUmW1yo/edit?usp=sharing"",""เพชรบูรณ์!J382"")"),1934)</f>
        <v>1934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IFERROR(__xludf.DUMMYFUNCTION("IMPORTRANGE(""https://docs.google.com/spreadsheets/d/11923uPwbBZFjjGgGUA6NLw09EwE0CqkOc4q9oUmW1yo/edit?usp=sharing"",""เพชรบูรณ์!I383"")"),0)</f>
        <v>0</v>
      </c>
      <c r="J488" s="420">
        <f ca="1">IFERROR(__xludf.DUMMYFUNCTION("IMPORTRANGE(""https://docs.google.com/spreadsheets/d/11923uPwbBZFjjGgGUA6NLw09EwE0CqkOc4q9oUmW1yo/edit?usp=sharing"",""เพชรบูรณ์!J383"")"),85)</f>
        <v>85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IFERROR(__xludf.DUMMYFUNCTION("IMPORTRANGE(""https://docs.google.com/spreadsheets/d/11923uPwbBZFjjGgGUA6NLw09EwE0CqkOc4q9oUmW1yo/edit?usp=sharing"",""เพชรบูรณ์!I384"")"),0)</f>
        <v>0</v>
      </c>
      <c r="J489" s="188">
        <f ca="1">IFERROR(__xludf.DUMMYFUNCTION("IMPORTRANGE(""https://docs.google.com/spreadsheets/d/11923uPwbBZFjjGgGUA6NLw09EwE0CqkOc4q9oUmW1yo/edit?usp=sharing"",""เพชรบูรณ์!J384"")"),1820)</f>
        <v>1820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IFERROR(__xludf.DUMMYFUNCTION("IMPORTRANGE(""https://docs.google.com/spreadsheets/d/11923uPwbBZFjjGgGUA6NLw09EwE0CqkOc4q9oUmW1yo/edit?usp=sharing"",""เพชรบูรณ์!I385"")"),0)</f>
        <v>0</v>
      </c>
      <c r="J490" s="188">
        <f ca="1">IFERROR(__xludf.DUMMYFUNCTION("IMPORTRANGE(""https://docs.google.com/spreadsheets/d/11923uPwbBZFjjGgGUA6NLw09EwE0CqkOc4q9oUmW1yo/edit?usp=sharing"",""เพชรบูรณ์!J385"")"),79)</f>
        <v>79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IFERROR(__xludf.DUMMYFUNCTION("IMPORTRANGE(""https://docs.google.com/spreadsheets/d/11923uPwbBZFjjGgGUA6NLw09EwE0CqkOc4q9oUmW1yo/edit?usp=sharing"",""เพชรบูรณ์!I386"")"),0)</f>
        <v>0</v>
      </c>
      <c r="J491" s="188">
        <f ca="1">IFERROR(__xludf.DUMMYFUNCTION("IMPORTRANGE(""https://docs.google.com/spreadsheets/d/11923uPwbBZFjjGgGUA6NLw09EwE0CqkOc4q9oUmW1yo/edit?usp=sharing"",""เพชรบูรณ์!J386"")"),114)</f>
        <v>114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IFERROR(__xludf.DUMMYFUNCTION("IMPORTRANGE(""https://docs.google.com/spreadsheets/d/11923uPwbBZFjjGgGUA6NLw09EwE0CqkOc4q9oUmW1yo/edit?usp=sharing"",""เพชรบูรณ์!I387"")"),0)</f>
        <v>0</v>
      </c>
      <c r="J492" s="188">
        <f ca="1">IFERROR(__xludf.DUMMYFUNCTION("IMPORTRANGE(""https://docs.google.com/spreadsheets/d/11923uPwbBZFjjGgGUA6NLw09EwE0CqkOc4q9oUmW1yo/edit?usp=sharing"",""เพชรบูรณ์!J387"")"),6)</f>
        <v>6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IFERROR(__xludf.DUMMYFUNCTION("IMPORTRANGE(""https://docs.google.com/spreadsheets/d/11923uPwbBZFjjGgGUA6NLw09EwE0CqkOc4q9oUmW1yo/edit?usp=sharing"",""เพชรบูรณ์!I388"")"),0)</f>
        <v>0</v>
      </c>
      <c r="J493" s="188">
        <f ca="1">IFERROR(__xludf.DUMMYFUNCTION("IMPORTRANGE(""https://docs.google.com/spreadsheets/d/11923uPwbBZFjjGgGUA6NLw09EwE0CqkOc4q9oUmW1yo/edit?usp=sharing"",""เพชรบูรณ์!J388"")"),9798)</f>
        <v>9798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IFERROR(__xludf.DUMMYFUNCTION("IMPORTRANGE(""https://docs.google.com/spreadsheets/d/11923uPwbBZFjjGgGUA6NLw09EwE0CqkOc4q9oUmW1yo/edit?usp=sharing"",""เพชรบูรณ์!I389"")"),0)</f>
        <v>0</v>
      </c>
      <c r="J494" s="436">
        <f ca="1">IFERROR(__xludf.DUMMYFUNCTION("IMPORTRANGE(""https://docs.google.com/spreadsheets/d/11923uPwbBZFjjGgGUA6NLw09EwE0CqkOc4q9oUmW1yo/edit?usp=sharing"",""เพชรบูรณ์!J389"")"),466)</f>
        <v>466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IFERROR(__xludf.DUMMYFUNCTION("IMPORTRANGE(""https://docs.google.com/spreadsheets/d/11923uPwbBZFjjGgGUA6NLw09EwE0CqkOc4q9oUmW1yo/edit?usp=sharing"",""เพชรบูรณ์!I390"")"),0)</f>
        <v>0</v>
      </c>
      <c r="J495" s="436">
        <f ca="1">IFERROR(__xludf.DUMMYFUNCTION("IMPORTRANGE(""https://docs.google.com/spreadsheets/d/11923uPwbBZFjjGgGUA6NLw09EwE0CqkOc4q9oUmW1yo/edit?usp=sharing"",""เพชรบูรณ์!J390"")"),0)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IFERROR(__xludf.DUMMYFUNCTION("IMPORTRANGE(""https://docs.google.com/spreadsheets/d/11923uPwbBZFjjGgGUA6NLw09EwE0CqkOc4q9oUmW1yo/edit?usp=sharing"",""เพชรบูรณ์!I391"")"),0)</f>
        <v>0</v>
      </c>
      <c r="J496" s="436">
        <f ca="1">IFERROR(__xludf.DUMMYFUNCTION("IMPORTRANGE(""https://docs.google.com/spreadsheets/d/11923uPwbBZFjjGgGUA6NLw09EwE0CqkOc4q9oUmW1yo/edit?usp=sharing"",""เพชรบูรณ์!J391"")"),0)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IFERROR(__xludf.DUMMYFUNCTION("IMPORTRANGE(""https://docs.google.com/spreadsheets/d/11923uPwbBZFjjGgGUA6NLw09EwE0CqkOc4q9oUmW1yo/edit?usp=sharing"",""เพชรบูรณ์!I392"")"),3349)</f>
        <v>3349</v>
      </c>
      <c r="J497" s="443">
        <f ca="1">IFERROR(__xludf.DUMMYFUNCTION("IMPORTRANGE(""https://docs.google.com/spreadsheets/d/11923uPwbBZFjjGgGUA6NLw09EwE0CqkOc4q9oUmW1yo/edit?usp=sharing"",""เพชรบูรณ์!J392"")"),1523)</f>
        <v>1523</v>
      </c>
      <c r="K497" s="444">
        <f t="shared" ca="1" si="117"/>
        <v>45.476261570618092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IFERROR(__xludf.DUMMYFUNCTION("IMPORTRANGE(""https://docs.google.com/spreadsheets/d/11923uPwbBZFjjGgGUA6NLw09EwE0CqkOc4q9oUmW1yo/edit?usp=sharing"",""เพชรบูรณ์!I393"")"),3349)</f>
        <v>3349</v>
      </c>
      <c r="J498" s="420">
        <f ca="1">IFERROR(__xludf.DUMMYFUNCTION("IMPORTRANGE(""https://docs.google.com/spreadsheets/d/11923uPwbBZFjjGgGUA6NLw09EwE0CqkOc4q9oUmW1yo/edit?usp=sharing"",""เพชรบูรณ์!J393"")"),1523)</f>
        <v>1523</v>
      </c>
      <c r="K498" s="201">
        <f t="shared" ca="1" si="117"/>
        <v>45.476261570618092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IFERROR(__xludf.DUMMYFUNCTION("IMPORTRANGE(""https://docs.google.com/spreadsheets/d/11923uPwbBZFjjGgGUA6NLw09EwE0CqkOc4q9oUmW1yo/edit?usp=sharing"",""เพชรบูรณ์!I394"")"),281)</f>
        <v>281</v>
      </c>
      <c r="J499" s="420">
        <f ca="1">IFERROR(__xludf.DUMMYFUNCTION("IMPORTRANGE(""https://docs.google.com/spreadsheets/d/11923uPwbBZFjjGgGUA6NLw09EwE0CqkOc4q9oUmW1yo/edit?usp=sharing"",""เพชรบูรณ์!J394"")"),115)</f>
        <v>115</v>
      </c>
      <c r="K499" s="201">
        <f t="shared" ca="1" si="117"/>
        <v>40.92526690391459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IFERROR(__xludf.DUMMYFUNCTION("IMPORTRANGE(""https://docs.google.com/spreadsheets/d/11923uPwbBZFjjGgGUA6NLw09EwE0CqkOc4q9oUmW1yo/edit?usp=sharing"",""เพชรบูรณ์!I395"")"),0)</f>
        <v>0</v>
      </c>
      <c r="J500" s="162">
        <f ca="1">IFERROR(__xludf.DUMMYFUNCTION("IMPORTRANGE(""https://docs.google.com/spreadsheets/d/11923uPwbBZFjjGgGUA6NLw09EwE0CqkOc4q9oUmW1yo/edit?usp=sharing"",""เพชรบูรณ์!J395"")"),1461)</f>
        <v>1461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IFERROR(__xludf.DUMMYFUNCTION("IMPORTRANGE(""https://docs.google.com/spreadsheets/d/11923uPwbBZFjjGgGUA6NLw09EwE0CqkOc4q9oUmW1yo/edit?usp=sharing"",""เพชรบูรณ์!I396"")"),0)</f>
        <v>0</v>
      </c>
      <c r="J501" s="162">
        <f ca="1">IFERROR(__xludf.DUMMYFUNCTION("IMPORTRANGE(""https://docs.google.com/spreadsheets/d/11923uPwbBZFjjGgGUA6NLw09EwE0CqkOc4q9oUmW1yo/edit?usp=sharing"",""เพชรบูรณ์!J396"")"),109)</f>
        <v>109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IFERROR(__xludf.DUMMYFUNCTION("IMPORTRANGE(""https://docs.google.com/spreadsheets/d/11923uPwbBZFjjGgGUA6NLw09EwE0CqkOc4q9oUmW1yo/edit?usp=sharing"",""เพชรบูรณ์!I397"")"),0)</f>
        <v>0</v>
      </c>
      <c r="J502" s="188">
        <f ca="1">IFERROR(__xludf.DUMMYFUNCTION("IMPORTRANGE(""https://docs.google.com/spreadsheets/d/11923uPwbBZFjjGgGUA6NLw09EwE0CqkOc4q9oUmW1yo/edit?usp=sharing"",""เพชรบูรณ์!J397"")"),1380)</f>
        <v>1380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IFERROR(__xludf.DUMMYFUNCTION("IMPORTRANGE(""https://docs.google.com/spreadsheets/d/11923uPwbBZFjjGgGUA6NLw09EwE0CqkOc4q9oUmW1yo/edit?usp=sharing"",""เพชรบูรณ์!I398"")"),0)</f>
        <v>0</v>
      </c>
      <c r="J503" s="197">
        <f ca="1">IFERROR(__xludf.DUMMYFUNCTION("IMPORTRANGE(""https://docs.google.com/spreadsheets/d/11923uPwbBZFjjGgGUA6NLw09EwE0CqkOc4q9oUmW1yo/edit?usp=sharing"",""เพชรบูรณ์!J398"")"),102)</f>
        <v>102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IFERROR(__xludf.DUMMYFUNCTION("IMPORTRANGE(""https://docs.google.com/spreadsheets/d/11923uPwbBZFjjGgGUA6NLw09EwE0CqkOc4q9oUmW1yo/edit?usp=sharing"",""เพชรบูรณ์!I399"")"),0)</f>
        <v>0</v>
      </c>
      <c r="J504" s="188">
        <f ca="1">IFERROR(__xludf.DUMMYFUNCTION("IMPORTRANGE(""https://docs.google.com/spreadsheets/d/11923uPwbBZFjjGgGUA6NLw09EwE0CqkOc4q9oUmW1yo/edit?usp=sharing"",""เพชรบูรณ์!J399"")"),81)</f>
        <v>81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IFERROR(__xludf.DUMMYFUNCTION("IMPORTRANGE(""https://docs.google.com/spreadsheets/d/11923uPwbBZFjjGgGUA6NLw09EwE0CqkOc4q9oUmW1yo/edit?usp=sharing"",""เพชรบูรณ์!I400"")"),0)</f>
        <v>0</v>
      </c>
      <c r="J505" s="197">
        <f ca="1">IFERROR(__xludf.DUMMYFUNCTION("IMPORTRANGE(""https://docs.google.com/spreadsheets/d/11923uPwbBZFjjGgGUA6NLw09EwE0CqkOc4q9oUmW1yo/edit?usp=sharing"",""เพชรบูรณ์!J400"")"),7)</f>
        <v>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IFERROR(__xludf.DUMMYFUNCTION("IMPORTRANGE(""https://docs.google.com/spreadsheets/d/11923uPwbBZFjjGgGUA6NLw09EwE0CqkOc4q9oUmW1yo/edit?usp=sharing"",""เพชรบูรณ์!I401"")"),0)</f>
        <v>0</v>
      </c>
      <c r="J506" s="188">
        <f ca="1">IFERROR(__xludf.DUMMYFUNCTION("IMPORTRANGE(""https://docs.google.com/spreadsheets/d/11923uPwbBZFjjGgGUA6NLw09EwE0CqkOc4q9oUmW1yo/edit?usp=sharing"",""เพชรบูรณ์!J401"")"),0)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IFERROR(__xludf.DUMMYFUNCTION("IMPORTRANGE(""https://docs.google.com/spreadsheets/d/11923uPwbBZFjjGgGUA6NLw09EwE0CqkOc4q9oUmW1yo/edit?usp=sharing"",""เพชรบูรณ์!I402"")"),0)</f>
        <v>0</v>
      </c>
      <c r="J507" s="197">
        <f ca="1">IFERROR(__xludf.DUMMYFUNCTION("IMPORTRANGE(""https://docs.google.com/spreadsheets/d/11923uPwbBZFjjGgGUA6NLw09EwE0CqkOc4q9oUmW1yo/edit?usp=sharing"",""เพชรบูรณ์!J402"")"),0)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IFERROR(__xludf.DUMMYFUNCTION("IMPORTRANGE(""https://docs.google.com/spreadsheets/d/11923uPwbBZFjjGgGUA6NLw09EwE0CqkOc4q9oUmW1yo/edit?usp=sharing"",""เพชรบูรณ์!I403"")"),0)</f>
        <v>0</v>
      </c>
      <c r="J508" s="162">
        <f ca="1">IFERROR(__xludf.DUMMYFUNCTION("IMPORTRANGE(""https://docs.google.com/spreadsheets/d/11923uPwbBZFjjGgGUA6NLw09EwE0CqkOc4q9oUmW1yo/edit?usp=sharing"",""เพชรบูรณ์!J403"")"),48)</f>
        <v>48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IFERROR(__xludf.DUMMYFUNCTION("IMPORTRANGE(""https://docs.google.com/spreadsheets/d/11923uPwbBZFjjGgGUA6NLw09EwE0CqkOc4q9oUmW1yo/edit?usp=sharing"",""เพชรบูรณ์!I404"")"),0)</f>
        <v>0</v>
      </c>
      <c r="J509" s="162">
        <f ca="1">IFERROR(__xludf.DUMMYFUNCTION("IMPORTRANGE(""https://docs.google.com/spreadsheets/d/11923uPwbBZFjjGgGUA6NLw09EwE0CqkOc4q9oUmW1yo/edit?usp=sharing"",""เพชรบูรณ์!J404"")"),5)</f>
        <v>5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IFERROR(__xludf.DUMMYFUNCTION("IMPORTRANGE(""https://docs.google.com/spreadsheets/d/11923uPwbBZFjjGgGUA6NLw09EwE0CqkOc4q9oUmW1yo/edit?usp=sharing"",""เพชรบูรณ์!I405"")"),0)</f>
        <v>0</v>
      </c>
      <c r="J510" s="197">
        <f ca="1">IFERROR(__xludf.DUMMYFUNCTION("IMPORTRANGE(""https://docs.google.com/spreadsheets/d/11923uPwbBZFjjGgGUA6NLw09EwE0CqkOc4q9oUmW1yo/edit?usp=sharing"",""เพชรบูรณ์!J405"")"),48)</f>
        <v>48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IFERROR(__xludf.DUMMYFUNCTION("IMPORTRANGE(""https://docs.google.com/spreadsheets/d/11923uPwbBZFjjGgGUA6NLw09EwE0CqkOc4q9oUmW1yo/edit?usp=sharing"",""เพชรบูรณ์!I406"")"),0)</f>
        <v>0</v>
      </c>
      <c r="J511" s="197">
        <f ca="1">IFERROR(__xludf.DUMMYFUNCTION("IMPORTRANGE(""https://docs.google.com/spreadsheets/d/11923uPwbBZFjjGgGUA6NLw09EwE0CqkOc4q9oUmW1yo/edit?usp=sharing"",""เพชรบูรณ์!J406"")"),5)</f>
        <v>5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IFERROR(__xludf.DUMMYFUNCTION("IMPORTRANGE(""https://docs.google.com/spreadsheets/d/11923uPwbBZFjjGgGUA6NLw09EwE0CqkOc4q9oUmW1yo/edit?usp=sharing"",""เพชรบูรณ์!I407"")"),0)</f>
        <v>0</v>
      </c>
      <c r="J512" s="197">
        <f ca="1">IFERROR(__xludf.DUMMYFUNCTION("IMPORTRANGE(""https://docs.google.com/spreadsheets/d/11923uPwbBZFjjGgGUA6NLw09EwE0CqkOc4q9oUmW1yo/edit?usp=sharing"",""เพชรบูรณ์!J407"")"),0)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IFERROR(__xludf.DUMMYFUNCTION("IMPORTRANGE(""https://docs.google.com/spreadsheets/d/11923uPwbBZFjjGgGUA6NLw09EwE0CqkOc4q9oUmW1yo/edit?usp=sharing"",""เพชรบูรณ์!I408"")"),0)</f>
        <v>0</v>
      </c>
      <c r="J513" s="197">
        <f ca="1">IFERROR(__xludf.DUMMYFUNCTION("IMPORTRANGE(""https://docs.google.com/spreadsheets/d/11923uPwbBZFjjGgGUA6NLw09EwE0CqkOc4q9oUmW1yo/edit?usp=sharing"",""เพชรบูรณ์!J408"")"),0)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IFERROR(__xludf.DUMMYFUNCTION("IMPORTRANGE(""https://docs.google.com/spreadsheets/d/11923uPwbBZFjjGgGUA6NLw09EwE0CqkOc4q9oUmW1yo/edit?usp=sharing"",""เพชรบูรณ์!I409"")"),0)</f>
        <v>0</v>
      </c>
      <c r="J514" s="197">
        <f ca="1">IFERROR(__xludf.DUMMYFUNCTION("IMPORTRANGE(""https://docs.google.com/spreadsheets/d/11923uPwbBZFjjGgGUA6NLw09EwE0CqkOc4q9oUmW1yo/edit?usp=sharing"",""เพชรบูรณ์!J409"")"),14)</f>
        <v>14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IFERROR(__xludf.DUMMYFUNCTION("IMPORTRANGE(""https://docs.google.com/spreadsheets/d/11923uPwbBZFjjGgGUA6NLw09EwE0CqkOc4q9oUmW1yo/edit?usp=sharing"",""เพชรบูรณ์!I410"")"),0)</f>
        <v>0</v>
      </c>
      <c r="J515" s="197">
        <f ca="1">IFERROR(__xludf.DUMMYFUNCTION("IMPORTRANGE(""https://docs.google.com/spreadsheets/d/11923uPwbBZFjjGgGUA6NLw09EwE0CqkOc4q9oUmW1yo/edit?usp=sharing"",""เพชรบูรณ์!J410"")"),1)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IFERROR(__xludf.DUMMYFUNCTION("IMPORTRANGE(""https://docs.google.com/spreadsheets/d/11923uPwbBZFjjGgGUA6NLw09EwE0CqkOc4q9oUmW1yo/edit?usp=sharing"",""เพชรบูรณ์!I411"")"),0)</f>
        <v>0</v>
      </c>
      <c r="J516" s="267">
        <f ca="1">IFERROR(__xludf.DUMMYFUNCTION("IMPORTRANGE(""https://docs.google.com/spreadsheets/d/11923uPwbBZFjjGgGUA6NLw09EwE0CqkOc4q9oUmW1yo/edit?usp=sharing"",""เพชรบูรณ์!J411"")"),0)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IFERROR(__xludf.DUMMYFUNCTION("IMPORTRANGE(""https://docs.google.com/spreadsheets/d/11923uPwbBZFjjGgGUA6NLw09EwE0CqkOc4q9oUmW1yo/edit?usp=sharing"",""เพชรบูรณ์!I412"")"),0)</f>
        <v>0</v>
      </c>
      <c r="J517" s="284">
        <f ca="1">IFERROR(__xludf.DUMMYFUNCTION("IMPORTRANGE(""https://docs.google.com/spreadsheets/d/11923uPwbBZFjjGgGUA6NLw09EwE0CqkOc4q9oUmW1yo/edit?usp=sharing"",""เพชรบูรณ์!J412"")"),0)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IFERROR(__xludf.DUMMYFUNCTION("IMPORTRANGE(""https://docs.google.com/spreadsheets/d/11923uPwbBZFjjGgGUA6NLw09EwE0CqkOc4q9oUmW1yo/edit?usp=sharing"",""เพชรบูรณ์!I413"")"),0)</f>
        <v>0</v>
      </c>
      <c r="J518" s="284">
        <f ca="1">IFERROR(__xludf.DUMMYFUNCTION("IMPORTRANGE(""https://docs.google.com/spreadsheets/d/11923uPwbBZFjjGgGUA6NLw09EwE0CqkOc4q9oUmW1yo/edit?usp=sharing"",""เพชรบูรณ์!J413"")"),0)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IFERROR(__xludf.DUMMYFUNCTION("IMPORTRANGE(""https://docs.google.com/spreadsheets/d/11923uPwbBZFjjGgGUA6NLw09EwE0CqkOc4q9oUmW1yo/edit?usp=sharing"",""เพชรบูรณ์!I414"")"),0)</f>
        <v>0</v>
      </c>
      <c r="J519" s="187">
        <f ca="1">IFERROR(__xludf.DUMMYFUNCTION("IMPORTRANGE(""https://docs.google.com/spreadsheets/d/11923uPwbBZFjjGgGUA6NLw09EwE0CqkOc4q9oUmW1yo/edit?usp=sharing"",""เพชรบูรณ์!J414"")"),0)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IFERROR(__xludf.DUMMYFUNCTION("IMPORTRANGE(""https://docs.google.com/spreadsheets/d/11923uPwbBZFjjGgGUA6NLw09EwE0CqkOc4q9oUmW1yo/edit?usp=sharing"",""เพชรบูรณ์!I415"")"),0)</f>
        <v>0</v>
      </c>
      <c r="J520" s="187">
        <f ca="1">IFERROR(__xludf.DUMMYFUNCTION("IMPORTRANGE(""https://docs.google.com/spreadsheets/d/11923uPwbBZFjjGgGUA6NLw09EwE0CqkOc4q9oUmW1yo/edit?usp=sharing"",""เพชรบูรณ์!J415"")"),0)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IFERROR(__xludf.DUMMYFUNCTION("IMPORTRANGE(""https://docs.google.com/spreadsheets/d/11923uPwbBZFjjGgGUA6NLw09EwE0CqkOc4q9oUmW1yo/edit?usp=sharing"",""เพชรบูรณ์!I416"")"),0)</f>
        <v>0</v>
      </c>
      <c r="J521" s="187">
        <f ca="1">IFERROR(__xludf.DUMMYFUNCTION("IMPORTRANGE(""https://docs.google.com/spreadsheets/d/11923uPwbBZFjjGgGUA6NLw09EwE0CqkOc4q9oUmW1yo/edit?usp=sharing"",""เพชรบูรณ์!J416"")"),0)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IFERROR(__xludf.DUMMYFUNCTION("IMPORTRANGE(""https://docs.google.com/spreadsheets/d/11923uPwbBZFjjGgGUA6NLw09EwE0CqkOc4q9oUmW1yo/edit?usp=sharing"",""เพชรบูรณ์!I417"")"),0)</f>
        <v>0</v>
      </c>
      <c r="J522" s="187">
        <f ca="1">IFERROR(__xludf.DUMMYFUNCTION("IMPORTRANGE(""https://docs.google.com/spreadsheets/d/11923uPwbBZFjjGgGUA6NLw09EwE0CqkOc4q9oUmW1yo/edit?usp=sharing"",""เพชรบูรณ์!J417"")"),0)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IFERROR(__xludf.DUMMYFUNCTION("IMPORTRANGE(""https://docs.google.com/spreadsheets/d/11923uPwbBZFjjGgGUA6NLw09EwE0CqkOc4q9oUmW1yo/edit?usp=sharing"",""เพชรบูรณ์!I418"")"),0)</f>
        <v>0</v>
      </c>
      <c r="J523" s="187">
        <f ca="1">IFERROR(__xludf.DUMMYFUNCTION("IMPORTRANGE(""https://docs.google.com/spreadsheets/d/11923uPwbBZFjjGgGUA6NLw09EwE0CqkOc4q9oUmW1yo/edit?usp=sharing"",""เพชรบูรณ์!J418"")"),1090)</f>
        <v>1090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IFERROR(__xludf.DUMMYFUNCTION("IMPORTRANGE(""https://docs.google.com/spreadsheets/d/11923uPwbBZFjjGgGUA6NLw09EwE0CqkOc4q9oUmW1yo/edit?usp=sharing"",""เพชรบูรณ์!I419"")"),0)</f>
        <v>0</v>
      </c>
      <c r="J524" s="187">
        <f ca="1">IFERROR(__xludf.DUMMYFUNCTION("IMPORTRANGE(""https://docs.google.com/spreadsheets/d/11923uPwbBZFjjGgGUA6NLw09EwE0CqkOc4q9oUmW1yo/edit?usp=sharing"",""เพชรบูรณ์!J419"")"),42)</f>
        <v>42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IFERROR(__xludf.DUMMYFUNCTION("IMPORTRANGE(""https://docs.google.com/spreadsheets/d/11923uPwbBZFjjGgGUA6NLw09EwE0CqkOc4q9oUmW1yo/edit?usp=sharing"",""เพชรบูรณ์!I420"")"),1090)</f>
        <v>1090</v>
      </c>
      <c r="J525" s="284">
        <f ca="1">IFERROR(__xludf.DUMMYFUNCTION("IMPORTRANGE(""https://docs.google.com/spreadsheets/d/11923uPwbBZFjjGgGUA6NLw09EwE0CqkOc4q9oUmW1yo/edit?usp=sharing"",""เพชรบูรณ์!J420"")"),1090)</f>
        <v>1090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IFERROR(__xludf.DUMMYFUNCTION("IMPORTRANGE(""https://docs.google.com/spreadsheets/d/11923uPwbBZFjjGgGUA6NLw09EwE0CqkOc4q9oUmW1yo/edit?usp=sharing"",""เพชรบูรณ์!I421"")"),42)</f>
        <v>42</v>
      </c>
      <c r="J526" s="284">
        <f ca="1">IFERROR(__xludf.DUMMYFUNCTION("IMPORTRANGE(""https://docs.google.com/spreadsheets/d/11923uPwbBZFjjGgGUA6NLw09EwE0CqkOc4q9oUmW1yo/edit?usp=sharing"",""เพชรบูรณ์!J421"")"),42)</f>
        <v>42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IFERROR(__xludf.DUMMYFUNCTION("IMPORTRANGE(""https://docs.google.com/spreadsheets/d/11923uPwbBZFjjGgGUA6NLw09EwE0CqkOc4q9oUmW1yo/edit?usp=sharing"",""เพชรบูรณ์!I422"")"),0)</f>
        <v>0</v>
      </c>
      <c r="J527" s="197">
        <f ca="1">IFERROR(__xludf.DUMMYFUNCTION("IMPORTRANGE(""https://docs.google.com/spreadsheets/d/11923uPwbBZFjjGgGUA6NLw09EwE0CqkOc4q9oUmW1yo/edit?usp=sharing"",""เพชรบูรณ์!J422"")"),420.5)</f>
        <v>420.5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IFERROR(__xludf.DUMMYFUNCTION("IMPORTRANGE(""https://docs.google.com/spreadsheets/d/11923uPwbBZFjjGgGUA6NLw09EwE0CqkOc4q9oUmW1yo/edit?usp=sharing"",""เพชรบูรณ์!I423"")"),0)</f>
        <v>0</v>
      </c>
      <c r="J528" s="197">
        <f ca="1">IFERROR(__xludf.DUMMYFUNCTION("IMPORTRANGE(""https://docs.google.com/spreadsheets/d/11923uPwbBZFjjGgGUA6NLw09EwE0CqkOc4q9oUmW1yo/edit?usp=sharing"",""เพชรบูรณ์!J423"")"),10)</f>
        <v>10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IFERROR(__xludf.DUMMYFUNCTION("IMPORTRANGE(""https://docs.google.com/spreadsheets/d/11923uPwbBZFjjGgGUA6NLw09EwE0CqkOc4q9oUmW1yo/edit?usp=sharing"",""เพชรบูรณ์!I424"")"),0)</f>
        <v>0</v>
      </c>
      <c r="J529" s="197">
        <f ca="1">IFERROR(__xludf.DUMMYFUNCTION("IMPORTRANGE(""https://docs.google.com/spreadsheets/d/11923uPwbBZFjjGgGUA6NLw09EwE0CqkOc4q9oUmW1yo/edit?usp=sharing"",""เพชรบูรณ์!J424"")"),619.5)</f>
        <v>619.5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IFERROR(__xludf.DUMMYFUNCTION("IMPORTRANGE(""https://docs.google.com/spreadsheets/d/11923uPwbBZFjjGgGUA6NLw09EwE0CqkOc4q9oUmW1yo/edit?usp=sharing"",""เพชรบูรณ์!I425"")"),0)</f>
        <v>0</v>
      </c>
      <c r="J530" s="197">
        <f ca="1">IFERROR(__xludf.DUMMYFUNCTION("IMPORTRANGE(""https://docs.google.com/spreadsheets/d/11923uPwbBZFjjGgGUA6NLw09EwE0CqkOc4q9oUmW1yo/edit?usp=sharing"",""เพชรบูรณ์!J425"")"),31)</f>
        <v>31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IFERROR(__xludf.DUMMYFUNCTION("IMPORTRANGE(""https://docs.google.com/spreadsheets/d/11923uPwbBZFjjGgGUA6NLw09EwE0CqkOc4q9oUmW1yo/edit?usp=sharing"",""เพชรบูรณ์!I426"")"),0)</f>
        <v>0</v>
      </c>
      <c r="J531" s="197">
        <f ca="1">IFERROR(__xludf.DUMMYFUNCTION("IMPORTRANGE(""https://docs.google.com/spreadsheets/d/11923uPwbBZFjjGgGUA6NLw09EwE0CqkOc4q9oUmW1yo/edit?usp=sharing"",""เพชรบูรณ์!J426"")"),50)</f>
        <v>50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IFERROR(__xludf.DUMMYFUNCTION("IMPORTRANGE(""https://docs.google.com/spreadsheets/d/11923uPwbBZFjjGgGUA6NLw09EwE0CqkOc4q9oUmW1yo/edit?usp=sharing"",""เพชรบูรณ์!I427"")"),0)</f>
        <v>0</v>
      </c>
      <c r="J532" s="466">
        <f ca="1">IFERROR(__xludf.DUMMYFUNCTION("IMPORTRANGE(""https://docs.google.com/spreadsheets/d/11923uPwbBZFjjGgGUA6NLw09EwE0CqkOc4q9oUmW1yo/edit?usp=sharing"",""เพชรบูรณ์!J427"")"),1)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IFERROR(__xludf.DUMMYFUNCTION("IMPORTRANGE(""https://docs.google.com/spreadsheets/d/11923uPwbBZFjjGgGUA6NLw09EwE0CqkOc4q9oUmW1yo/edit?usp=sharing"",""เพชรบูรณ์!I428"")"),22)</f>
        <v>22</v>
      </c>
      <c r="J533" s="409">
        <f ca="1">IFERROR(__xludf.DUMMYFUNCTION("IMPORTRANGE(""https://docs.google.com/spreadsheets/d/11923uPwbBZFjjGgGUA6NLw09EwE0CqkOc4q9oUmW1yo/edit?usp=sharing"",""เพชรบูรณ์!J428"")"),22)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IFERROR(__xludf.DUMMYFUNCTION("IMPORTRANGE(""https://docs.google.com/spreadsheets/d/11923uPwbBZFjjGgGUA6NLw09EwE0CqkOc4q9oUmW1yo/edit?usp=sharing"",""เพชรบูรณ์!L428"")"),34340)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IFERROR(__xludf.DUMMYFUNCTION("IMPORTRANGE(""https://docs.google.com/spreadsheets/d/11923uPwbBZFjjGgGUA6NLw09EwE0CqkOc4q9oUmW1yo/edit?usp=sharing"",""เพชรบูรณ์!M428"")"),25781)</f>
        <v>25781</v>
      </c>
      <c r="O533" s="411">
        <f t="shared" ref="O533:O537" ca="1" si="118">+IF(L533&gt;0,N533*100/L533,0)</f>
        <v>75.075713453698313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IFERROR(__xludf.DUMMYFUNCTION("IMPORTRANGE(""https://docs.google.com/spreadsheets/d/11923uPwbBZFjjGgGUA6NLw09EwE0CqkOc4q9oUmW1yo/edit?usp=sharing"",""เพชรบูรณ์!L429"")"),0)</f>
        <v>0</v>
      </c>
      <c r="M534" s="164"/>
      <c r="N534" s="168">
        <f ca="1">IFERROR(__xludf.DUMMYFUNCTION("IMPORTRANGE(""https://docs.google.com/spreadsheets/d/11923uPwbBZFjjGgGUA6NLw09EwE0CqkOc4q9oUmW1yo/edit?usp=sharing"",""เพชรบูรณ์!M429"")"),0)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IFERROR(__xludf.DUMMYFUNCTION("IMPORTRANGE(""https://docs.google.com/spreadsheets/d/11923uPwbBZFjjGgGUA6NLw09EwE0CqkOc4q9oUmW1yo/edit?usp=sharing"",""เพชรบูรณ์!L430"")"),34340)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IFERROR(__xludf.DUMMYFUNCTION("IMPORTRANGE(""https://docs.google.com/spreadsheets/d/11923uPwbBZFjjGgGUA6NLw09EwE0CqkOc4q9oUmW1yo/edit?usp=sharing"",""เพชรบูรณ์!M430"")"),25781)</f>
        <v>25781</v>
      </c>
      <c r="O535" s="168">
        <f t="shared" ca="1" si="118"/>
        <v>75.075713453698313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IFERROR(__xludf.DUMMYFUNCTION("IMPORTRANGE(""https://docs.google.com/spreadsheets/d/11923uPwbBZFjjGgGUA6NLw09EwE0CqkOc4q9oUmW1yo/edit?usp=sharing"",""เพชรบูรณ์!L431"")"),0)</f>
        <v>0</v>
      </c>
      <c r="M536" s="168"/>
      <c r="N536" s="168">
        <f ca="1">IFERROR(__xludf.DUMMYFUNCTION("IMPORTRANGE(""https://docs.google.com/spreadsheets/d/11923uPwbBZFjjGgGUA6NLw09EwE0CqkOc4q9oUmW1yo/edit?usp=sharing"",""เพชรบูรณ์!M431"")"),0)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IFERROR(__xludf.DUMMYFUNCTION("IMPORTRANGE(""https://docs.google.com/spreadsheets/d/11923uPwbBZFjjGgGUA6NLw09EwE0CqkOc4q9oUmW1yo/edit?usp=sharing"",""เพชรบูรณ์!L432"")"),34340)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IFERROR(__xludf.DUMMYFUNCTION("IMPORTRANGE(""https://docs.google.com/spreadsheets/d/11923uPwbBZFjjGgGUA6NLw09EwE0CqkOc4q9oUmW1yo/edit?usp=sharing"",""เพชรบูรณ์!M432"")"),25781)</f>
        <v>25781</v>
      </c>
      <c r="O537" s="168">
        <f t="shared" ca="1" si="118"/>
        <v>75.075713453698313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IFERROR(__xludf.DUMMYFUNCTION("IMPORTRANGE(""https://docs.google.com/spreadsheets/d/11923uPwbBZFjjGgGUA6NLw09EwE0CqkOc4q9oUmW1yo/edit?usp=sharing"",""เพชรบูรณ์!M433"")"),17161)</f>
        <v>17161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IFERROR(__xludf.DUMMYFUNCTION("IMPORTRANGE(""https://docs.google.com/spreadsheets/d/11923uPwbBZFjjGgGUA6NLw09EwE0CqkOc4q9oUmW1yo/edit?usp=sharing"",""เพชรบูรณ์!M434"")"),0)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IFERROR(__xludf.DUMMYFUNCTION("IMPORTRANGE(""https://docs.google.com/spreadsheets/d/11923uPwbBZFjjGgGUA6NLw09EwE0CqkOc4q9oUmW1yo/edit?usp=sharing"",""เพชรบูรณ์!M435"")"),0)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IFERROR(__xludf.DUMMYFUNCTION("IMPORTRANGE(""https://docs.google.com/spreadsheets/d/11923uPwbBZFjjGgGUA6NLw09EwE0CqkOc4q9oUmW1yo/edit?usp=sharing"",""เพชรบูรณ์!M436"")"),8620)</f>
        <v>8620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IFERROR(__xludf.DUMMYFUNCTION("IMPORTRANGE(""https://docs.google.com/spreadsheets/d/11923uPwbBZFjjGgGUA6NLw09EwE0CqkOc4q9oUmW1yo/edit?usp=sharing"",""เพชรบูรณ์!J438"")"),0)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IFERROR(__xludf.DUMMYFUNCTION("IMPORTRANGE(""https://docs.google.com/spreadsheets/d/11923uPwbBZFjjGgGUA6NLw09EwE0CqkOc4q9oUmW1yo/edit?usp=sharing"",""เพชรบูรณ์!J439"")"),1)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IFERROR(__xludf.DUMMYFUNCTION("IMPORTRANGE(""https://docs.google.com/spreadsheets/d/11923uPwbBZFjjGgGUA6NLw09EwE0CqkOc4q9oUmW1yo/edit?usp=sharing"",""เพชรบูรณ์!J440"")"),1)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IFERROR(__xludf.DUMMYFUNCTION("IMPORTRANGE(""https://docs.google.com/spreadsheets/d/11923uPwbBZFjjGgGUA6NLw09EwE0CqkOc4q9oUmW1yo/edit?usp=sharing"",""เพชรบูรณ์!J441"")"),1)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IFERROR(__xludf.DUMMYFUNCTION("IMPORTRANGE(""https://docs.google.com/spreadsheets/d/11923uPwbBZFjjGgGUA6NLw09EwE0CqkOc4q9oUmW1yo/edit?usp=sharing"",""เพชรบูรณ์!I442"")"),22)</f>
        <v>22</v>
      </c>
      <c r="J547" s="188">
        <f ca="1">IFERROR(__xludf.DUMMYFUNCTION("IMPORTRANGE(""https://docs.google.com/spreadsheets/d/11923uPwbBZFjjGgGUA6NLw09EwE0CqkOc4q9oUmW1yo/edit?usp=sharing"",""เพชรบูรณ์!J442"")"),22)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IFERROR(__xludf.DUMMYFUNCTION("IMPORTRANGE(""https://docs.google.com/spreadsheets/d/11923uPwbBZFjjGgGUA6NLw09EwE0CqkOc4q9oUmW1yo/edit?usp=sharing"",""เพชรบูรณ์!J166"")"),0)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IFERROR(__xludf.DUMMYFUNCTION("IMPORTRANGE(""https://docs.google.com/spreadsheets/d/11923uPwbBZFjjGgGUA6NLw09EwE0CqkOc4q9oUmW1yo/edit?usp=sharing"",""เพชรบูรณ์!J444"")"),0)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IFERROR(__xludf.DUMMYFUNCTION("IMPORTRANGE(""https://docs.google.com/spreadsheets/d/11923uPwbBZFjjGgGUA6NLw09EwE0CqkOc4q9oUmW1yo/edit?usp=sharing"",""เพชรบูรณ์!J445"")"),0)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IFERROR(__xludf.DUMMYFUNCTION("IMPORTRANGE(""https://docs.google.com/spreadsheets/d/11923uPwbBZFjjGgGUA6NLw09EwE0CqkOc4q9oUmW1yo/edit?usp=sharing"",""เพชรบูรณ์!I446"")"),0)</f>
        <v>0</v>
      </c>
      <c r="J551" s="409">
        <f ca="1">IFERROR(__xludf.DUMMYFUNCTION("IMPORTRANGE(""https://docs.google.com/spreadsheets/d/11923uPwbBZFjjGgGUA6NLw09EwE0CqkOc4q9oUmW1yo/edit?usp=sharing"",""เพชรบูรณ์!J446"")"),0)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IFERROR(__xludf.DUMMYFUNCTION("IMPORTRANGE(""https://docs.google.com/spreadsheets/d/11923uPwbBZFjjGgGUA6NLw09EwE0CqkOc4q9oUmW1yo/edit?usp=sharing"",""เพชรบูรณ์!L446"")"),0)</f>
        <v>0</v>
      </c>
      <c r="M551" s="411"/>
      <c r="N551" s="411">
        <f ca="1">IFERROR(__xludf.DUMMYFUNCTION("IMPORTRANGE(""https://docs.google.com/spreadsheets/d/11923uPwbBZFjjGgGUA6NLw09EwE0CqkOc4q9oUmW1yo/edit?usp=sharing"",""เพชรบูรณ์!M446"")"),0)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IFERROR(__xludf.DUMMYFUNCTION("IMPORTRANGE(""https://docs.google.com/spreadsheets/d/11923uPwbBZFjjGgGUA6NLw09EwE0CqkOc4q9oUmW1yo/edit?usp=sharing"",""เพชรบูรณ์!L447"")"),0)</f>
        <v>0</v>
      </c>
      <c r="M552" s="164"/>
      <c r="N552" s="168">
        <f ca="1">IFERROR(__xludf.DUMMYFUNCTION("IMPORTRANGE(""https://docs.google.com/spreadsheets/d/11923uPwbBZFjjGgGUA6NLw09EwE0CqkOc4q9oUmW1yo/edit?usp=sharing"",""เพชรบูรณ์!M447"")"),0)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IFERROR(__xludf.DUMMYFUNCTION("IMPORTRANGE(""https://docs.google.com/spreadsheets/d/11923uPwbBZFjjGgGUA6NLw09EwE0CqkOc4q9oUmW1yo/edit?usp=sharing"",""เพชรบูรณ์!L448"")"),0)</f>
        <v>0</v>
      </c>
      <c r="M553" s="165"/>
      <c r="N553" s="168">
        <f ca="1">IFERROR(__xludf.DUMMYFUNCTION("IMPORTRANGE(""https://docs.google.com/spreadsheets/d/11923uPwbBZFjjGgGUA6NLw09EwE0CqkOc4q9oUmW1yo/edit?usp=sharing"",""เพชรบูรณ์!M448"")"),0)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IFERROR(__xludf.DUMMYFUNCTION("IMPORTRANGE(""https://docs.google.com/spreadsheets/d/11923uPwbBZFjjGgGUA6NLw09EwE0CqkOc4q9oUmW1yo/edit?usp=sharing"",""เพชรบูรณ์!L449"")"),0)</f>
        <v>0</v>
      </c>
      <c r="M554" s="168"/>
      <c r="N554" s="168">
        <f ca="1">IFERROR(__xludf.DUMMYFUNCTION("IMPORTRANGE(""https://docs.google.com/spreadsheets/d/11923uPwbBZFjjGgGUA6NLw09EwE0CqkOc4q9oUmW1yo/edit?usp=sharing"",""เพชรบูรณ์!M449"")"),0)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IFERROR(__xludf.DUMMYFUNCTION("IMPORTRANGE(""https://docs.google.com/spreadsheets/d/11923uPwbBZFjjGgGUA6NLw09EwE0CqkOc4q9oUmW1yo/edit?usp=sharing"",""เพชรบูรณ์!L450"")"),0)</f>
        <v>0</v>
      </c>
      <c r="M555" s="168"/>
      <c r="N555" s="168">
        <f ca="1">IFERROR(__xludf.DUMMYFUNCTION("IMPORTRANGE(""https://docs.google.com/spreadsheets/d/11923uPwbBZFjjGgGUA6NLw09EwE0CqkOc4q9oUmW1yo/edit?usp=sharing"",""เพชรบูรณ์!M450"")"),0)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IFERROR(__xludf.DUMMYFUNCTION("IMPORTRANGE(""https://docs.google.com/spreadsheets/d/11923uPwbBZFjjGgGUA6NLw09EwE0CqkOc4q9oUmW1yo/edit?usp=sharing"",""เพชรบูรณ์!M451"")"),0)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IFERROR(__xludf.DUMMYFUNCTION("IMPORTRANGE(""https://docs.google.com/spreadsheets/d/11923uPwbBZFjjGgGUA6NLw09EwE0CqkOc4q9oUmW1yo/edit?usp=sharing"",""เพชรบูรณ์!M452"")"),0)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IFERROR(__xludf.DUMMYFUNCTION("IMPORTRANGE(""https://docs.google.com/spreadsheets/d/11923uPwbBZFjjGgGUA6NLw09EwE0CqkOc4q9oUmW1yo/edit?usp=sharing"",""เพชรบูรณ์!M453"")"),0)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IFERROR(__xludf.DUMMYFUNCTION("IMPORTRANGE(""https://docs.google.com/spreadsheets/d/11923uPwbBZFjjGgGUA6NLw09EwE0CqkOc4q9oUmW1yo/edit?usp=sharing"",""เพชรบูรณ์!M454"")"),0)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IFERROR(__xludf.DUMMYFUNCTION("IMPORTRANGE(""https://docs.google.com/spreadsheets/d/11923uPwbBZFjjGgGUA6NLw09EwE0CqkOc4q9oUmW1yo/edit?usp=sharing"",""เพชรบูรณ์!I455"")"),0)</f>
        <v>0</v>
      </c>
      <c r="J560" s="162">
        <f ca="1">IFERROR(__xludf.DUMMYFUNCTION("IMPORTRANGE(""https://docs.google.com/spreadsheets/d/11923uPwbBZFjjGgGUA6NLw09EwE0CqkOc4q9oUmW1yo/edit?usp=sharing"",""เพชรบูรณ์!J455"")"),0)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IFERROR(__xludf.DUMMYFUNCTION("IMPORTRANGE(""https://docs.google.com/spreadsheets/d/11923uPwbBZFjjGgGUA6NLw09EwE0CqkOc4q9oUmW1yo/edit?usp=sharing"",""เพชรบูรณ์!I456"")"),0)</f>
        <v>0</v>
      </c>
      <c r="J561" s="203">
        <f ca="1">IFERROR(__xludf.DUMMYFUNCTION("IMPORTRANGE(""https://docs.google.com/spreadsheets/d/11923uPwbBZFjjGgGUA6NLw09EwE0CqkOc4q9oUmW1yo/edit?usp=sharing"",""เพชรบูรณ์!J456"")"),0)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IFERROR(__xludf.DUMMYFUNCTION("IMPORTRANGE(""https://docs.google.com/spreadsheets/d/11923uPwbBZFjjGgGUA6NLw09EwE0CqkOc4q9oUmW1yo/edit?usp=sharing"",""เพชรบูรณ์!I459"")"),3850)</f>
        <v>3850</v>
      </c>
      <c r="J564" s="370">
        <f ca="1">IFERROR(__xludf.DUMMYFUNCTION("IMPORTRANGE(""https://docs.google.com/spreadsheets/d/11923uPwbBZFjjGgGUA6NLw09EwE0CqkOc4q9oUmW1yo/edit?usp=sharing"",""เพชรบูรณ์!J459"")"),9619)</f>
        <v>9619</v>
      </c>
      <c r="K564" s="371">
        <f ca="1">IF(I564&gt;0,J564*100/I564,0)</f>
        <v>249.84415584415584</v>
      </c>
      <c r="L564" s="372">
        <f ca="1">IFERROR(__xludf.DUMMYFUNCTION("IMPORTRANGE(""https://docs.google.com/spreadsheets/d/11923uPwbBZFjjGgGUA6NLw09EwE0CqkOc4q9oUmW1yo/edit?usp=sharing"",""เพชรบูรณ์!L459"")"),157200)</f>
        <v>157200</v>
      </c>
      <c r="M564" s="372"/>
      <c r="N564" s="372">
        <f ca="1">IFERROR(__xludf.DUMMYFUNCTION("IMPORTRANGE(""https://docs.google.com/spreadsheets/d/11923uPwbBZFjjGgGUA6NLw09EwE0CqkOc4q9oUmW1yo/edit?usp=sharing"",""เพชรบูรณ์!M459"")"),132722.46)</f>
        <v>132722.46</v>
      </c>
      <c r="O564" s="372">
        <f t="shared" ref="O564:O568" ca="1" si="122">+IF(L564&gt;0,N564*100/L564,0)</f>
        <v>84.429045801526712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IFERROR(__xludf.DUMMYFUNCTION("IMPORTRANGE(""https://docs.google.com/spreadsheets/d/11923uPwbBZFjjGgGUA6NLw09EwE0CqkOc4q9oUmW1yo/edit?usp=sharing"",""เพชรบูรณ์!L460"")"),0)</f>
        <v>0</v>
      </c>
      <c r="M565" s="164"/>
      <c r="N565" s="168">
        <f ca="1">IFERROR(__xludf.DUMMYFUNCTION("IMPORTRANGE(""https://docs.google.com/spreadsheets/d/11923uPwbBZFjjGgGUA6NLw09EwE0CqkOc4q9oUmW1yo/edit?usp=sharing"",""เพชรบูรณ์!M460"")"),0)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IFERROR(__xludf.DUMMYFUNCTION("IMPORTRANGE(""https://docs.google.com/spreadsheets/d/11923uPwbBZFjjGgGUA6NLw09EwE0CqkOc4q9oUmW1yo/edit?usp=sharing"",""เพชรบูรณ์!L461"")"),157200)</f>
        <v>157200</v>
      </c>
      <c r="M566" s="165"/>
      <c r="N566" s="168">
        <f ca="1">IFERROR(__xludf.DUMMYFUNCTION("IMPORTRANGE(""https://docs.google.com/spreadsheets/d/11923uPwbBZFjjGgGUA6NLw09EwE0CqkOc4q9oUmW1yo/edit?usp=sharing"",""เพชรบูรณ์!M461"")"),132722.46)</f>
        <v>132722.46</v>
      </c>
      <c r="O566" s="168">
        <f t="shared" ca="1" si="122"/>
        <v>84.429045801526712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IFERROR(__xludf.DUMMYFUNCTION("IMPORTRANGE(""https://docs.google.com/spreadsheets/d/11923uPwbBZFjjGgGUA6NLw09EwE0CqkOc4q9oUmW1yo/edit?usp=sharing"",""เพชรบูรณ์!L462"")"),0)</f>
        <v>0</v>
      </c>
      <c r="M567" s="168"/>
      <c r="N567" s="168">
        <f ca="1">IFERROR(__xludf.DUMMYFUNCTION("IMPORTRANGE(""https://docs.google.com/spreadsheets/d/11923uPwbBZFjjGgGUA6NLw09EwE0CqkOc4q9oUmW1yo/edit?usp=sharing"",""เพชรบูรณ์!M462"")"),0)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IFERROR(__xludf.DUMMYFUNCTION("IMPORTRANGE(""https://docs.google.com/spreadsheets/d/11923uPwbBZFjjGgGUA6NLw09EwE0CqkOc4q9oUmW1yo/edit?usp=sharing"",""เพชรบูรณ์!L463"")"),157200)</f>
        <v>157200</v>
      </c>
      <c r="M568" s="168"/>
      <c r="N568" s="168">
        <f ca="1">IFERROR(__xludf.DUMMYFUNCTION("IMPORTRANGE(""https://docs.google.com/spreadsheets/d/11923uPwbBZFjjGgGUA6NLw09EwE0CqkOc4q9oUmW1yo/edit?usp=sharing"",""เพชรบูรณ์!M463"")"),132722.46)</f>
        <v>132722.46</v>
      </c>
      <c r="O568" s="168">
        <f t="shared" ca="1" si="122"/>
        <v>84.429045801526712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IFERROR(__xludf.DUMMYFUNCTION("IMPORTRANGE(""https://docs.google.com/spreadsheets/d/11923uPwbBZFjjGgGUA6NLw09EwE0CqkOc4q9oUmW1yo/edit?usp=sharing"",""เพชรบูรณ์!M464"")"),0)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IFERROR(__xludf.DUMMYFUNCTION("IMPORTRANGE(""https://docs.google.com/spreadsheets/d/11923uPwbBZFjjGgGUA6NLw09EwE0CqkOc4q9oUmW1yo/edit?usp=sharing"",""เพชรบูรณ์!M465"")"),0)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IFERROR(__xludf.DUMMYFUNCTION("IMPORTRANGE(""https://docs.google.com/spreadsheets/d/11923uPwbBZFjjGgGUA6NLw09EwE0CqkOc4q9oUmW1yo/edit?usp=sharing"",""เพชรบูรณ์!M466"")"),94914)</f>
        <v>94914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IFERROR(__xludf.DUMMYFUNCTION("IMPORTRANGE(""https://docs.google.com/spreadsheets/d/11923uPwbBZFjjGgGUA6NLw09EwE0CqkOc4q9oUmW1yo/edit?usp=sharing"",""เพชรบูรณ์!M467"")"),37808.46)</f>
        <v>37808.46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IFERROR(__xludf.DUMMYFUNCTION("IMPORTRANGE(""https://docs.google.com/spreadsheets/d/11923uPwbBZFjjGgGUA6NLw09EwE0CqkOc4q9oUmW1yo/edit?usp=sharing"",""เพชรบูรณ์!I468"")"),3850)</f>
        <v>3850</v>
      </c>
      <c r="J573" s="420">
        <f ca="1">IFERROR(__xludf.DUMMYFUNCTION("IMPORTRANGE(""https://docs.google.com/spreadsheets/d/11923uPwbBZFjjGgGUA6NLw09EwE0CqkOc4q9oUmW1yo/edit?usp=sharing"",""เพชรบูรณ์!J468"")"),9619)</f>
        <v>9619</v>
      </c>
      <c r="K573" s="201">
        <f ca="1">IF(I573&gt;0,J573*100/I573,0)</f>
        <v>249.84415584415584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IFERROR(__xludf.DUMMYFUNCTION("IMPORTRANGE(""https://docs.google.com/spreadsheets/d/11923uPwbBZFjjGgGUA6NLw09EwE0CqkOc4q9oUmW1yo/edit?usp=sharing"",""เพชรบูรณ์!I470"")"),0)</f>
        <v>0</v>
      </c>
      <c r="J575" s="197">
        <f ca="1">IFERROR(__xludf.DUMMYFUNCTION("IMPORTRANGE(""https://docs.google.com/spreadsheets/d/11923uPwbBZFjjGgGUA6NLw09EwE0CqkOc4q9oUmW1yo/edit?usp=sharing"",""เพชรบูรณ์!J470"")"),7)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IFERROR(__xludf.DUMMYFUNCTION("IMPORTRANGE(""https://docs.google.com/spreadsheets/d/11923uPwbBZFjjGgGUA6NLw09EwE0CqkOc4q9oUmW1yo/edit?usp=sharing"",""เพชรบูรณ์!I471"")"),0)</f>
        <v>0</v>
      </c>
      <c r="J576" s="197">
        <f ca="1">IFERROR(__xludf.DUMMYFUNCTION("IMPORTRANGE(""https://docs.google.com/spreadsheets/d/11923uPwbBZFjjGgGUA6NLw09EwE0CqkOc4q9oUmW1yo/edit?usp=sharing"",""เพชรบูรณ์!J471"")"),803)</f>
        <v>803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IFERROR(__xludf.DUMMYFUNCTION("IMPORTRANGE(""https://docs.google.com/spreadsheets/d/11923uPwbBZFjjGgGUA6NLw09EwE0CqkOc4q9oUmW1yo/edit?usp=sharing"",""เพชรบูรณ์!I472"")"),0)</f>
        <v>0</v>
      </c>
      <c r="J577" s="188">
        <f ca="1">IFERROR(__xludf.DUMMYFUNCTION("IMPORTRANGE(""https://docs.google.com/spreadsheets/d/11923uPwbBZFjjGgGUA6NLw09EwE0CqkOc4q9oUmW1yo/edit?usp=sharing"",""เพชรบูรณ์!J472"")"),8498)</f>
        <v>8498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IFERROR(__xludf.DUMMYFUNCTION("IMPORTRANGE(""https://docs.google.com/spreadsheets/d/11923uPwbBZFjjGgGUA6NLw09EwE0CqkOc4q9oUmW1yo/edit?usp=sharing"",""เพชรบูรณ์!I473"")"),0)</f>
        <v>0</v>
      </c>
      <c r="J578" s="197">
        <f ca="1">IFERROR(__xludf.DUMMYFUNCTION("IMPORTRANGE(""https://docs.google.com/spreadsheets/d/11923uPwbBZFjjGgGUA6NLw09EwE0CqkOc4q9oUmW1yo/edit?usp=sharing"",""เพชรบูรณ์!J473"")"),38)</f>
        <v>38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IFERROR(__xludf.DUMMYFUNCTION("IMPORTRANGE(""https://docs.google.com/spreadsheets/d/11923uPwbBZFjjGgGUA6NLw09EwE0CqkOc4q9oUmW1yo/edit?usp=sharing"",""เพชรบูรณ์!I474"")"),0)</f>
        <v>0</v>
      </c>
      <c r="J579" s="197">
        <f ca="1">IFERROR(__xludf.DUMMYFUNCTION("IMPORTRANGE(""https://docs.google.com/spreadsheets/d/11923uPwbBZFjjGgGUA6NLw09EwE0CqkOc4q9oUmW1yo/edit?usp=sharing"",""เพชรบูรณ์!J474"")"),280)</f>
        <v>280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IFERROR(__xludf.DUMMYFUNCTION("IMPORTRANGE(""https://docs.google.com/spreadsheets/d/11923uPwbBZFjjGgGUA6NLw09EwE0CqkOc4q9oUmW1yo/edit?usp=sharing"",""เพชรบูรณ์!I475"")"),150)</f>
        <v>150</v>
      </c>
      <c r="J580" s="370">
        <f ca="1">IFERROR(__xludf.DUMMYFUNCTION("IMPORTRANGE(""https://docs.google.com/spreadsheets/d/11923uPwbBZFjjGgGUA6NLw09EwE0CqkOc4q9oUmW1yo/edit?usp=sharing"",""เพชรบูรณ์!J475"")"),113)</f>
        <v>113</v>
      </c>
      <c r="K580" s="371">
        <f ca="1">IF(I580&gt;0,J580*100/I580,0)</f>
        <v>75.333333333333329</v>
      </c>
      <c r="L580" s="372">
        <f ca="1">IFERROR(__xludf.DUMMYFUNCTION("IMPORTRANGE(""https://docs.google.com/spreadsheets/d/11923uPwbBZFjjGgGUA6NLw09EwE0CqkOc4q9oUmW1yo/edit?usp=sharing"",""เพชรบูรณ์!L475"")"),346950)</f>
        <v>346950</v>
      </c>
      <c r="M580" s="372"/>
      <c r="N580" s="372">
        <f ca="1">IFERROR(__xludf.DUMMYFUNCTION("IMPORTRANGE(""https://docs.google.com/spreadsheets/d/11923uPwbBZFjjGgGUA6NLw09EwE0CqkOc4q9oUmW1yo/edit?usp=sharing"",""เพชรบูรณ์!M475"")"),218002)</f>
        <v>218002</v>
      </c>
      <c r="O580" s="372">
        <f t="shared" ref="O580:O584" ca="1" si="124">+IF(L580&gt;0,N580*100/L580,0)</f>
        <v>62.833837728779365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IFERROR(__xludf.DUMMYFUNCTION("IMPORTRANGE(""https://docs.google.com/spreadsheets/d/11923uPwbBZFjjGgGUA6NLw09EwE0CqkOc4q9oUmW1yo/edit?usp=sharing"",""เพชรบูรณ์!L476"")"),0)</f>
        <v>0</v>
      </c>
      <c r="M581" s="164"/>
      <c r="N581" s="168">
        <f ca="1">IFERROR(__xludf.DUMMYFUNCTION("IMPORTRANGE(""https://docs.google.com/spreadsheets/d/11923uPwbBZFjjGgGUA6NLw09EwE0CqkOc4q9oUmW1yo/edit?usp=sharing"",""เพชรบูรณ์!M476"")"),0)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IFERROR(__xludf.DUMMYFUNCTION("IMPORTRANGE(""https://docs.google.com/spreadsheets/d/11923uPwbBZFjjGgGUA6NLw09EwE0CqkOc4q9oUmW1yo/edit?usp=sharing"",""เพชรบูรณ์!L477"")"),346950)</f>
        <v>346950</v>
      </c>
      <c r="M582" s="165"/>
      <c r="N582" s="168">
        <f ca="1">IFERROR(__xludf.DUMMYFUNCTION("IMPORTRANGE(""https://docs.google.com/spreadsheets/d/11923uPwbBZFjjGgGUA6NLw09EwE0CqkOc4q9oUmW1yo/edit?usp=sharing"",""เพชรบูรณ์!M477"")"),218002)</f>
        <v>218002</v>
      </c>
      <c r="O582" s="168">
        <f t="shared" ca="1" si="124"/>
        <v>62.833837728779365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IFERROR(__xludf.DUMMYFUNCTION("IMPORTRANGE(""https://docs.google.com/spreadsheets/d/11923uPwbBZFjjGgGUA6NLw09EwE0CqkOc4q9oUmW1yo/edit?usp=sharing"",""เพชรบูรณ์!L478"")"),0)</f>
        <v>0</v>
      </c>
      <c r="M583" s="168"/>
      <c r="N583" s="168">
        <f ca="1">IFERROR(__xludf.DUMMYFUNCTION("IMPORTRANGE(""https://docs.google.com/spreadsheets/d/11923uPwbBZFjjGgGUA6NLw09EwE0CqkOc4q9oUmW1yo/edit?usp=sharing"",""เพชรบูรณ์!M478"")"),0)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IFERROR(__xludf.DUMMYFUNCTION("IMPORTRANGE(""https://docs.google.com/spreadsheets/d/11923uPwbBZFjjGgGUA6NLw09EwE0CqkOc4q9oUmW1yo/edit?usp=sharing"",""เพชรบูรณ์!L479"")"),346950)</f>
        <v>346950</v>
      </c>
      <c r="M584" s="168"/>
      <c r="N584" s="168">
        <f ca="1">IFERROR(__xludf.DUMMYFUNCTION("IMPORTRANGE(""https://docs.google.com/spreadsheets/d/11923uPwbBZFjjGgGUA6NLw09EwE0CqkOc4q9oUmW1yo/edit?usp=sharing"",""เพชรบูรณ์!M479"")"),218002)</f>
        <v>218002</v>
      </c>
      <c r="O584" s="168">
        <f t="shared" ca="1" si="124"/>
        <v>62.833837728779365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IFERROR(__xludf.DUMMYFUNCTION("IMPORTRANGE(""https://docs.google.com/spreadsheets/d/11923uPwbBZFjjGgGUA6NLw09EwE0CqkOc4q9oUmW1yo/edit?usp=sharing"",""เพชรบูรณ์!M480"")"),0)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IFERROR(__xludf.DUMMYFUNCTION("IMPORTRANGE(""https://docs.google.com/spreadsheets/d/11923uPwbBZFjjGgGUA6NLw09EwE0CqkOc4q9oUmW1yo/edit?usp=sharing"",""เพชรบูรณ์!M481"")"),0)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IFERROR(__xludf.DUMMYFUNCTION("IMPORTRANGE(""https://docs.google.com/spreadsheets/d/11923uPwbBZFjjGgGUA6NLw09EwE0CqkOc4q9oUmW1yo/edit?usp=sharing"",""เพชรบูรณ์!M482"")"),70026)</f>
        <v>70026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IFERROR(__xludf.DUMMYFUNCTION("IMPORTRANGE(""https://docs.google.com/spreadsheets/d/11923uPwbBZFjjGgGUA6NLw09EwE0CqkOc4q9oUmW1yo/edit?usp=sharing"",""เพชรบูรณ์!M483"")"),147976)</f>
        <v>147976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IFERROR(__xludf.DUMMYFUNCTION("IMPORTRANGE(""https://docs.google.com/spreadsheets/d/11923uPwbBZFjjGgGUA6NLw09EwE0CqkOc4q9oUmW1yo/edit?usp=sharing"",""เพชรบูรณ์!I484"")"),150)</f>
        <v>150</v>
      </c>
      <c r="J589" s="187">
        <f ca="1">IFERROR(__xludf.DUMMYFUNCTION("IMPORTRANGE(""https://docs.google.com/spreadsheets/d/11923uPwbBZFjjGgGUA6NLw09EwE0CqkOc4q9oUmW1yo/edit?usp=sharing"",""เพชรบูรณ์!J484"")"),234)</f>
        <v>234</v>
      </c>
      <c r="K589" s="163">
        <f t="shared" ref="K589:K596" ca="1" si="125">IF(I589&gt;0,J589*100/I589,0)</f>
        <v>156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IFERROR(__xludf.DUMMYFUNCTION("IMPORTRANGE(""https://docs.google.com/spreadsheets/d/11923uPwbBZFjjGgGUA6NLw09EwE0CqkOc4q9oUmW1yo/edit?usp=sharing"",""เพชรบูรณ์!I485"")"),0)</f>
        <v>0</v>
      </c>
      <c r="J590" s="187">
        <f ca="1">IFERROR(__xludf.DUMMYFUNCTION("IMPORTRANGE(""https://docs.google.com/spreadsheets/d/11923uPwbBZFjjGgGUA6NLw09EwE0CqkOc4q9oUmW1yo/edit?usp=sharing"",""เพชรบูรณ์!J485"")"),136.43)</f>
        <v>136.43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IFERROR(__xludf.DUMMYFUNCTION("IMPORTRANGE(""https://docs.google.com/spreadsheets/d/11923uPwbBZFjjGgGUA6NLw09EwE0CqkOc4q9oUmW1yo/edit?usp=sharing"",""เพชรบูรณ์!I486"")"),150)</f>
        <v>150</v>
      </c>
      <c r="J591" s="187">
        <f ca="1">IFERROR(__xludf.DUMMYFUNCTION("IMPORTRANGE(""https://docs.google.com/spreadsheets/d/11923uPwbBZFjjGgGUA6NLw09EwE0CqkOc4q9oUmW1yo/edit?usp=sharing"",""เพชรบูรณ์!J486"")"),182)</f>
        <v>182</v>
      </c>
      <c r="K591" s="163">
        <f t="shared" ca="1" si="125"/>
        <v>121.33333333333333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IFERROR(__xludf.DUMMYFUNCTION("IMPORTRANGE(""https://docs.google.com/spreadsheets/d/11923uPwbBZFjjGgGUA6NLw09EwE0CqkOc4q9oUmW1yo/edit?usp=sharing"",""เพชรบูรณ์!I487"")"),0)</f>
        <v>0</v>
      </c>
      <c r="J592" s="187">
        <f ca="1">IFERROR(__xludf.DUMMYFUNCTION("IMPORTRANGE(""https://docs.google.com/spreadsheets/d/11923uPwbBZFjjGgGUA6NLw09EwE0CqkOc4q9oUmW1yo/edit?usp=sharing"",""เพชรบูรณ์!J487"")"),105.34)</f>
        <v>105.34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IFERROR(__xludf.DUMMYFUNCTION("IMPORTRANGE(""https://docs.google.com/spreadsheets/d/11923uPwbBZFjjGgGUA6NLw09EwE0CqkOc4q9oUmW1yo/edit?usp=sharing"",""เพชรบูรณ์!I488"")"),150)</f>
        <v>150</v>
      </c>
      <c r="J593" s="187">
        <f ca="1">IFERROR(__xludf.DUMMYFUNCTION("IMPORTRANGE(""https://docs.google.com/spreadsheets/d/11923uPwbBZFjjGgGUA6NLw09EwE0CqkOc4q9oUmW1yo/edit?usp=sharing"",""เพชรบูรณ์!J488"")"),96)</f>
        <v>96</v>
      </c>
      <c r="K593" s="163">
        <f t="shared" ca="1" si="125"/>
        <v>64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IFERROR(__xludf.DUMMYFUNCTION("IMPORTRANGE(""https://docs.google.com/spreadsheets/d/11923uPwbBZFjjGgGUA6NLw09EwE0CqkOc4q9oUmW1yo/edit?usp=sharing"",""เพชรบูรณ์!I489"")"),0)</f>
        <v>0</v>
      </c>
      <c r="J594" s="187">
        <f ca="1">IFERROR(__xludf.DUMMYFUNCTION("IMPORTRANGE(""https://docs.google.com/spreadsheets/d/11923uPwbBZFjjGgGUA6NLw09EwE0CqkOc4q9oUmW1yo/edit?usp=sharing"",""เพชรบูรณ์!J489"")"),47.3)</f>
        <v>47.3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IFERROR(__xludf.DUMMYFUNCTION("IMPORTRANGE(""https://docs.google.com/spreadsheets/d/11923uPwbBZFjjGgGUA6NLw09EwE0CqkOc4q9oUmW1yo/edit?usp=sharing"",""เพชรบูรณ์!I490"")"),150)</f>
        <v>150</v>
      </c>
      <c r="J595" s="187">
        <f ca="1">IFERROR(__xludf.DUMMYFUNCTION("IMPORTRANGE(""https://docs.google.com/spreadsheets/d/11923uPwbBZFjjGgGUA6NLw09EwE0CqkOc4q9oUmW1yo/edit?usp=sharing"",""เพชรบูรณ์!J490"")"),113)</f>
        <v>113</v>
      </c>
      <c r="K595" s="163">
        <f t="shared" ca="1" si="125"/>
        <v>75.333333333333329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IFERROR(__xludf.DUMMYFUNCTION("IMPORTRANGE(""https://docs.google.com/spreadsheets/d/11923uPwbBZFjjGgGUA6NLw09EwE0CqkOc4q9oUmW1yo/edit?usp=sharing"",""เพชรบูรณ์!I491"")"),0)</f>
        <v>0</v>
      </c>
      <c r="J596" s="241">
        <f ca="1">IFERROR(__xludf.DUMMYFUNCTION("IMPORTRANGE(""https://docs.google.com/spreadsheets/d/11923uPwbBZFjjGgGUA6NLw09EwE0CqkOc4q9oUmW1yo/edit?usp=sharing"",""เพชรบูรณ์!J491"")"),54.38)</f>
        <v>54.38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IFERROR(__xludf.DUMMYFUNCTION("IMPORTRANGE(""https://docs.google.com/spreadsheets/d/11923uPwbBZFjjGgGUA6NLw09EwE0CqkOc4q9oUmW1yo/edit?usp=sharing"",""เพชรบูรณ์!I492"")"),100)</f>
        <v>100</v>
      </c>
      <c r="J597" s="488">
        <f ca="1">IFERROR(__xludf.DUMMYFUNCTION("IMPORTRANGE(""https://docs.google.com/spreadsheets/d/11923uPwbBZFjjGgGUA6NLw09EwE0CqkOc4q9oUmW1yo/edit?usp=sharing"",""เพชรบูรณ์!J492"")"),0)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IFERROR(__xludf.DUMMYFUNCTION("IMPORTRANGE(""https://docs.google.com/spreadsheets/d/11923uPwbBZFjjGgGUA6NLw09EwE0CqkOc4q9oUmW1yo/edit?usp=sharing"",""เพชรบูรณ์!L492"")"),7300)</f>
        <v>7300</v>
      </c>
      <c r="M597" s="411"/>
      <c r="N597" s="411">
        <f ca="1">IFERROR(__xludf.DUMMYFUNCTION("IMPORTRANGE(""https://docs.google.com/spreadsheets/d/11923uPwbBZFjjGgGUA6NLw09EwE0CqkOc4q9oUmW1yo/edit?usp=sharing"",""เพชรบูรณ์!M492"")"),450)</f>
        <v>450</v>
      </c>
      <c r="O597" s="411">
        <f t="shared" ref="O597:O601" ca="1" si="126">+IF(L597&gt;0,N597*100/L597,0)</f>
        <v>6.1643835616438354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IFERROR(__xludf.DUMMYFUNCTION("IMPORTRANGE(""https://docs.google.com/spreadsheets/d/11923uPwbBZFjjGgGUA6NLw09EwE0CqkOc4q9oUmW1yo/edit?usp=sharing"",""เพชรบูรณ์!L493"")"),0)</f>
        <v>0</v>
      </c>
      <c r="M598" s="164"/>
      <c r="N598" s="168">
        <f ca="1">IFERROR(__xludf.DUMMYFUNCTION("IMPORTRANGE(""https://docs.google.com/spreadsheets/d/11923uPwbBZFjjGgGUA6NLw09EwE0CqkOc4q9oUmW1yo/edit?usp=sharing"",""เพชรบูรณ์!M493"")"),0)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IFERROR(__xludf.DUMMYFUNCTION("IMPORTRANGE(""https://docs.google.com/spreadsheets/d/11923uPwbBZFjjGgGUA6NLw09EwE0CqkOc4q9oUmW1yo/edit?usp=sharing"",""เพชรบูรณ์!L494"")"),7300)</f>
        <v>7300</v>
      </c>
      <c r="M599" s="165"/>
      <c r="N599" s="168">
        <f ca="1">IFERROR(__xludf.DUMMYFUNCTION("IMPORTRANGE(""https://docs.google.com/spreadsheets/d/11923uPwbBZFjjGgGUA6NLw09EwE0CqkOc4q9oUmW1yo/edit?usp=sharing"",""เพชรบูรณ์!M494"")"),450)</f>
        <v>450</v>
      </c>
      <c r="O599" s="168">
        <f t="shared" ca="1" si="126"/>
        <v>6.1643835616438354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IFERROR(__xludf.DUMMYFUNCTION("IMPORTRANGE(""https://docs.google.com/spreadsheets/d/11923uPwbBZFjjGgGUA6NLw09EwE0CqkOc4q9oUmW1yo/edit?usp=sharing"",""เพชรบูรณ์!L495"")"),0)</f>
        <v>0</v>
      </c>
      <c r="M600" s="168"/>
      <c r="N600" s="168">
        <f ca="1">IFERROR(__xludf.DUMMYFUNCTION("IMPORTRANGE(""https://docs.google.com/spreadsheets/d/11923uPwbBZFjjGgGUA6NLw09EwE0CqkOc4q9oUmW1yo/edit?usp=sharing"",""เพชรบูรณ์!M495"")"),0)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IFERROR(__xludf.DUMMYFUNCTION("IMPORTRANGE(""https://docs.google.com/spreadsheets/d/11923uPwbBZFjjGgGUA6NLw09EwE0CqkOc4q9oUmW1yo/edit?usp=sharing"",""เพชรบูรณ์!L496"")"),7300)</f>
        <v>7300</v>
      </c>
      <c r="M601" s="168"/>
      <c r="N601" s="168">
        <f ca="1">IFERROR(__xludf.DUMMYFUNCTION("IMPORTRANGE(""https://docs.google.com/spreadsheets/d/11923uPwbBZFjjGgGUA6NLw09EwE0CqkOc4q9oUmW1yo/edit?usp=sharing"",""เพชรบูรณ์!M496"")"),450)</f>
        <v>450</v>
      </c>
      <c r="O601" s="168">
        <f t="shared" ca="1" si="126"/>
        <v>6.1643835616438354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IFERROR(__xludf.DUMMYFUNCTION("IMPORTRANGE(""https://docs.google.com/spreadsheets/d/11923uPwbBZFjjGgGUA6NLw09EwE0CqkOc4q9oUmW1yo/edit?usp=sharing"",""เพชรบูรณ์!M497"")"),0)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IFERROR(__xludf.DUMMYFUNCTION("IMPORTRANGE(""https://docs.google.com/spreadsheets/d/11923uPwbBZFjjGgGUA6NLw09EwE0CqkOc4q9oUmW1yo/edit?usp=sharing"",""เพชรบูรณ์!M498"")"),0)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IFERROR(__xludf.DUMMYFUNCTION("IMPORTRANGE(""https://docs.google.com/spreadsheets/d/11923uPwbBZFjjGgGUA6NLw09EwE0CqkOc4q9oUmW1yo/edit?usp=sharing"",""เพชรบูรณ์!M499"")"),0)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IFERROR(__xludf.DUMMYFUNCTION("IMPORTRANGE(""https://docs.google.com/spreadsheets/d/11923uPwbBZFjjGgGUA6NLw09EwE0CqkOc4q9oUmW1yo/edit?usp=sharing"",""เพชรบูรณ์!M500"")"),450)</f>
        <v>450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IFERROR(__xludf.DUMMYFUNCTION("IMPORTRANGE(""https://docs.google.com/spreadsheets/d/11923uPwbBZFjjGgGUA6NLw09EwE0CqkOc4q9oUmW1yo/edit?usp=sharing"",""เพชรบูรณ์!J502"")"),0)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IFERROR(__xludf.DUMMYFUNCTION("IMPORTRANGE(""https://docs.google.com/spreadsheets/d/11923uPwbBZFjjGgGUA6NLw09EwE0CqkOc4q9oUmW1yo/edit?usp=sharing"",""เพชรบูรณ์!J503"")"),1)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IFERROR(__xludf.DUMMYFUNCTION("IMPORTRANGE(""https://docs.google.com/spreadsheets/d/11923uPwbBZFjjGgGUA6NLw09EwE0CqkOc4q9oUmW1yo/edit?usp=sharing"",""เพชรบูรณ์!J166"")"),0)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IFERROR(__xludf.DUMMYFUNCTION("IMPORTRANGE(""https://docs.google.com/spreadsheets/d/11923uPwbBZFjjGgGUA6NLw09EwE0CqkOc4q9oUmW1yo/edit?usp=sharing"",""เพชรบูรณ์!J166"")"),0)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IFERROR(__xludf.DUMMYFUNCTION("IMPORTRANGE(""https://docs.google.com/spreadsheets/d/11923uPwbBZFjjGgGUA6NLw09EwE0CqkOc4q9oUmW1yo/edit?usp=sharing"",""เพชรบูรณ์!I506"")"),100)</f>
        <v>100</v>
      </c>
      <c r="J611" s="162">
        <f ca="1">IFERROR(__xludf.DUMMYFUNCTION("IMPORTRANGE(""https://docs.google.com/spreadsheets/d/11923uPwbBZFjjGgGUA6NLw09EwE0CqkOc4q9oUmW1yo/edit?usp=sharing"",""เพชรบูรณ์!J506"")"),0)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IFERROR(__xludf.DUMMYFUNCTION("IMPORTRANGE(""https://docs.google.com/spreadsheets/d/11923uPwbBZFjjGgGUA6NLw09EwE0CqkOc4q9oUmW1yo/edit?usp=sharing"",""เพชรบูรณ์!I507"")"),0)</f>
        <v>0</v>
      </c>
      <c r="J612" s="197">
        <f ca="1">IFERROR(__xludf.DUMMYFUNCTION("IMPORTRANGE(""https://docs.google.com/spreadsheets/d/11923uPwbBZFjjGgGUA6NLw09EwE0CqkOc4q9oUmW1yo/edit?usp=sharing"",""เพชรบูรณ์!J507"")"),0)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IFERROR(__xludf.DUMMYFUNCTION("IMPORTRANGE(""https://docs.google.com/spreadsheets/d/11923uPwbBZFjjGgGUA6NLw09EwE0CqkOc4q9oUmW1yo/edit?usp=sharing"",""เพชรบูรณ์!I508"")"),0)</f>
        <v>0</v>
      </c>
      <c r="J613" s="197">
        <f ca="1">IFERROR(__xludf.DUMMYFUNCTION("IMPORTRANGE(""https://docs.google.com/spreadsheets/d/11923uPwbBZFjjGgGUA6NLw09EwE0CqkOc4q9oUmW1yo/edit?usp=sharing"",""เพชรบูรณ์!J508"")"),0)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IFERROR(__xludf.DUMMYFUNCTION("IMPORTRANGE(""https://docs.google.com/spreadsheets/d/11923uPwbBZFjjGgGUA6NLw09EwE0CqkOc4q9oUmW1yo/edit?usp=sharing"",""เพชรบูรณ์!I509"")"),0)</f>
        <v>0</v>
      </c>
      <c r="J614" s="197">
        <f ca="1">IFERROR(__xludf.DUMMYFUNCTION("IMPORTRANGE(""https://docs.google.com/spreadsheets/d/11923uPwbBZFjjGgGUA6NLw09EwE0CqkOc4q9oUmW1yo/edit?usp=sharing"",""เพชรบูรณ์!J509"")"),0)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IFERROR(__xludf.DUMMYFUNCTION("IMPORTRANGE(""https://docs.google.com/spreadsheets/d/11923uPwbBZFjjGgGUA6NLw09EwE0CqkOc4q9oUmW1yo/edit?usp=sharing"",""เพชรบูรณ์!I510"")"),0)</f>
        <v>0</v>
      </c>
      <c r="J615" s="197">
        <f ca="1">IFERROR(__xludf.DUMMYFUNCTION("IMPORTRANGE(""https://docs.google.com/spreadsheets/d/11923uPwbBZFjjGgGUA6NLw09EwE0CqkOc4q9oUmW1yo/edit?usp=sharing"",""เพชรบูรณ์!J510"")"),0)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IFERROR(__xludf.DUMMYFUNCTION("IMPORTRANGE(""https://docs.google.com/spreadsheets/d/11923uPwbBZFjjGgGUA6NLw09EwE0CqkOc4q9oUmW1yo/edit?usp=sharing"",""เพชรบูรณ์!I511"")"),0)</f>
        <v>0</v>
      </c>
      <c r="J616" s="197">
        <f ca="1">IFERROR(__xludf.DUMMYFUNCTION("IMPORTRANGE(""https://docs.google.com/spreadsheets/d/11923uPwbBZFjjGgGUA6NLw09EwE0CqkOc4q9oUmW1yo/edit?usp=sharing"",""เพชรบูรณ์!J511"")"),0)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IFERROR(__xludf.DUMMYFUNCTION("IMPORTRANGE(""https://docs.google.com/spreadsheets/d/11923uPwbBZFjjGgGUA6NLw09EwE0CqkOc4q9oUmW1yo/edit?usp=sharing"",""เพชรบูรณ์!I512"")"),0)</f>
        <v>0</v>
      </c>
      <c r="J617" s="187">
        <f ca="1">IFERROR(__xludf.DUMMYFUNCTION("IMPORTRANGE(""https://docs.google.com/spreadsheets/d/11923uPwbBZFjjGgGUA6NLw09EwE0CqkOc4q9oUmW1yo/edit?usp=sharing"",""เพชรบูรณ์!J512"")"),0)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IFERROR(__xludf.DUMMYFUNCTION("IMPORTRANGE(""https://docs.google.com/spreadsheets/d/11923uPwbBZFjjGgGUA6NLw09EwE0CqkOc4q9oUmW1yo/edit?usp=sharing"",""เพชรบูรณ์!I513"")"),0)</f>
        <v>0</v>
      </c>
      <c r="J618" s="188">
        <f ca="1">IFERROR(__xludf.DUMMYFUNCTION("IMPORTRANGE(""https://docs.google.com/spreadsheets/d/11923uPwbBZFjjGgGUA6NLw09EwE0CqkOc4q9oUmW1yo/edit?usp=sharing"",""เพชรบูรณ์!J513"")"),0)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IFERROR(__xludf.DUMMYFUNCTION("IMPORTRANGE(""https://docs.google.com/spreadsheets/d/11923uPwbBZFjjGgGUA6NLw09EwE0CqkOc4q9oUmW1yo/edit?usp=sharing"",""เพชรบูรณ์!I514"")"),0)</f>
        <v>0</v>
      </c>
      <c r="J619" s="188">
        <f ca="1">IFERROR(__xludf.DUMMYFUNCTION("IMPORTRANGE(""https://docs.google.com/spreadsheets/d/11923uPwbBZFjjGgGUA6NLw09EwE0CqkOc4q9oUmW1yo/edit?usp=sharing"",""เพชรบูรณ์!J514"")"),0)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IFERROR(__xludf.DUMMYFUNCTION("IMPORTRANGE(""https://docs.google.com/spreadsheets/d/11923uPwbBZFjjGgGUA6NLw09EwE0CqkOc4q9oUmW1yo/edit?usp=sharing"",""เพชรบูรณ์!I515"")"),0)</f>
        <v>0</v>
      </c>
      <c r="J620" s="202">
        <f ca="1">IFERROR(__xludf.DUMMYFUNCTION("IMPORTRANGE(""https://docs.google.com/spreadsheets/d/11923uPwbBZFjjGgGUA6NLw09EwE0CqkOc4q9oUmW1yo/edit?usp=sharing"",""เพชรบูรณ์!J515"")"),0)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IFERROR(__xludf.DUMMYFUNCTION("IMPORTRANGE(""https://docs.google.com/spreadsheets/d/11923uPwbBZFjjGgGUA6NLw09EwE0CqkOc4q9oUmW1yo/edit?usp=sharing"",""เพชรบูรณ์!I516"")"),0)</f>
        <v>0</v>
      </c>
      <c r="J621" s="202">
        <f ca="1">IFERROR(__xludf.DUMMYFUNCTION("IMPORTRANGE(""https://docs.google.com/spreadsheets/d/11923uPwbBZFjjGgGUA6NLw09EwE0CqkOc4q9oUmW1yo/edit?usp=sharing"",""เพชรบูรณ์!J516"")"),0)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IFERROR(__xludf.DUMMYFUNCTION("IMPORTRANGE(""https://docs.google.com/spreadsheets/d/11923uPwbBZFjjGgGUA6NLw09EwE0CqkOc4q9oUmW1yo/edit?usp=sharing"",""เพชรบูรณ์!I517"")"),0)</f>
        <v>0</v>
      </c>
      <c r="J622" s="188">
        <f ca="1">IFERROR(__xludf.DUMMYFUNCTION("IMPORTRANGE(""https://docs.google.com/spreadsheets/d/11923uPwbBZFjjGgGUA6NLw09EwE0CqkOc4q9oUmW1yo/edit?usp=sharing"",""เพชรบูรณ์!J517"")"),0)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IFERROR(__xludf.DUMMYFUNCTION("IMPORTRANGE(""https://docs.google.com/spreadsheets/d/11923uPwbBZFjjGgGUA6NLw09EwE0CqkOc4q9oUmW1yo/edit?usp=sharing"",""เพชรบูรณ์!I518"")"),0)</f>
        <v>0</v>
      </c>
      <c r="J623" s="188">
        <f ca="1">IFERROR(__xludf.DUMMYFUNCTION("IMPORTRANGE(""https://docs.google.com/spreadsheets/d/11923uPwbBZFjjGgGUA6NLw09EwE0CqkOc4q9oUmW1yo/edit?usp=sharing"",""เพชรบูรณ์!J518"")"),0)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IFERROR(__xludf.DUMMYFUNCTION("IMPORTRANGE(""https://docs.google.com/spreadsheets/d/11923uPwbBZFjjGgGUA6NLw09EwE0CqkOc4q9oUmW1yo/edit?usp=sharing"",""เพชรบูรณ์!I519"")"),0)</f>
        <v>0</v>
      </c>
      <c r="J624" s="187">
        <f ca="1">IFERROR(__xludf.DUMMYFUNCTION("IMPORTRANGE(""https://docs.google.com/spreadsheets/d/11923uPwbBZFjjGgGUA6NLw09EwE0CqkOc4q9oUmW1yo/edit?usp=sharing"",""เพชรบูรณ์!J519"")"),0)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IFERROR(__xludf.DUMMYFUNCTION("IMPORTRANGE(""https://docs.google.com/spreadsheets/d/11923uPwbBZFjjGgGUA6NLw09EwE0CqkOc4q9oUmW1yo/edit?usp=sharing"",""เพชรบูรณ์!I520"")"),0)</f>
        <v>0</v>
      </c>
      <c r="J625" s="188">
        <f ca="1">IFERROR(__xludf.DUMMYFUNCTION("IMPORTRANGE(""https://docs.google.com/spreadsheets/d/11923uPwbBZFjjGgGUA6NLw09EwE0CqkOc4q9oUmW1yo/edit?usp=sharing"",""เพชรบูรณ์!J520"")"),0)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IFERROR(__xludf.DUMMYFUNCTION("IMPORTRANGE(""https://docs.google.com/spreadsheets/d/11923uPwbBZFjjGgGUA6NLw09EwE0CqkOc4q9oUmW1yo/edit?usp=sharing"",""เพชรบูรณ์!I521"")"),0)</f>
        <v>0</v>
      </c>
      <c r="J626" s="188">
        <f ca="1">IFERROR(__xludf.DUMMYFUNCTION("IMPORTRANGE(""https://docs.google.com/spreadsheets/d/11923uPwbBZFjjGgGUA6NLw09EwE0CqkOc4q9oUmW1yo/edit?usp=sharing"",""เพชรบูรณ์!J521"")"),0)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IFERROR(__xludf.DUMMYFUNCTION("IMPORTRANGE(""https://docs.google.com/spreadsheets/d/11923uPwbBZFjjGgGUA6NLw09EwE0CqkOc4q9oUmW1yo/edit?usp=sharing"",""เพชรบูรณ์!I523"")"),19794077.95)</f>
        <v>19794077.949999999</v>
      </c>
      <c r="J628" s="341">
        <f ca="1">IFERROR(__xludf.DUMMYFUNCTION("IMPORTRANGE(""https://docs.google.com/spreadsheets/d/11923uPwbBZFjjGgGUA6NLw09EwE0CqkOc4q9oUmW1yo/edit?usp=sharing"",""เพชรบูรณ์!J523"")"),9159404.73)</f>
        <v>9159404.7300000004</v>
      </c>
      <c r="K628" s="342">
        <f t="shared" ref="K628:K635" ca="1" si="129">IF(I628&gt;0,J628*100/I628,0)</f>
        <v>46.27345993653622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IFERROR(__xludf.DUMMYFUNCTION("IMPORTRANGE(""https://docs.google.com/spreadsheets/d/11923uPwbBZFjjGgGUA6NLw09EwE0CqkOc4q9oUmW1yo/edit?usp=sharing"",""เพชรบูรณ์!I524"")"),654)</f>
        <v>654</v>
      </c>
      <c r="J629" s="341">
        <f ca="1">IFERROR(__xludf.DUMMYFUNCTION("IMPORTRANGE(""https://docs.google.com/spreadsheets/d/11923uPwbBZFjjGgGUA6NLw09EwE0CqkOc4q9oUmW1yo/edit?usp=sharing"",""เพชรบูรณ์!J524"")"),284)</f>
        <v>284</v>
      </c>
      <c r="K629" s="342">
        <f t="shared" ca="1" si="129"/>
        <v>43.425076452599392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41">
        <f ca="1">IFERROR(__xludf.DUMMYFUNCTION("IMPORTRANGE(""https://docs.google.com/spreadsheets/d/11923uPwbBZFjjGgGUA6NLw09EwE0CqkOc4q9oUmW1yo/edit?usp=sharing"",""เพชรบูรณ์!J525"")"),749762.72)</f>
        <v>749762.72</v>
      </c>
      <c r="K630" s="342">
        <f t="shared" ca="1" si="129"/>
        <v>2.6752422522871586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IFERROR(__xludf.DUMMYFUNCTION("IMPORTRANGE(""https://docs.google.com/spreadsheets/d/11923uPwbBZFjjGgGUA6NLw09EwE0CqkOc4q9oUmW1yo/edit?usp=sharing"",""เพชรบูรณ์!I526"")"),1029)</f>
        <v>1029</v>
      </c>
      <c r="J631" s="341">
        <f ca="1">IFERROR(__xludf.DUMMYFUNCTION("IMPORTRANGE(""https://docs.google.com/spreadsheets/d/11923uPwbBZFjjGgGUA6NLw09EwE0CqkOc4q9oUmW1yo/edit?usp=sharing"",""เพชรบูรณ์!J526"")"),227)</f>
        <v>227</v>
      </c>
      <c r="K631" s="342">
        <f t="shared" ca="1" si="129"/>
        <v>22.060252672497569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41">
        <f ca="1">IFERROR(__xludf.DUMMYFUNCTION("IMPORTRANGE(""https://docs.google.com/spreadsheets/d/11923uPwbBZFjjGgGUA6NLw09EwE0CqkOc4q9oUmW1yo/edit?usp=sharing"",""เพชรบูรณ์!J527"")"),391101.14)</f>
        <v>391101.14</v>
      </c>
      <c r="K632" s="342">
        <f t="shared" ca="1" si="129"/>
        <v>14.801441679681629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IFERROR(__xludf.DUMMYFUNCTION("IMPORTRANGE(""https://docs.google.com/spreadsheets/d/11923uPwbBZFjjGgGUA6NLw09EwE0CqkOc4q9oUmW1yo/edit?usp=sharing"",""เพชรบูรณ์!I528"")"),133)</f>
        <v>133</v>
      </c>
      <c r="J633" s="341">
        <f ca="1">IFERROR(__xludf.DUMMYFUNCTION("IMPORTRANGE(""https://docs.google.com/spreadsheets/d/11923uPwbBZFjjGgGUA6NLw09EwE0CqkOc4q9oUmW1yo/edit?usp=sharing"",""เพชรบูรณ์!J528"")"),72)</f>
        <v>72</v>
      </c>
      <c r="K633" s="342">
        <f t="shared" ca="1" si="129"/>
        <v>54.13533834586466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41">
        <f ca="1">IFERROR(__xludf.DUMMYFUNCTION("IMPORTRANGE(""https://docs.google.com/spreadsheets/d/11923uPwbBZFjjGgGUA6NLw09EwE0CqkOc4q9oUmW1yo/edit?usp=sharing"",""เพชรบูรณ์!J529"")"),7488000)</f>
        <v>7488000</v>
      </c>
      <c r="K634" s="342">
        <f t="shared" ca="1" si="129"/>
        <v>62.4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IFERROR(__xludf.DUMMYFUNCTION("IMPORTRANGE(""https://docs.google.com/spreadsheets/d/11923uPwbBZFjjGgGUA6NLw09EwE0CqkOc4q9oUmW1yo/edit?usp=sharing"",""เพชรบูรณ์!I530"")"),300)</f>
        <v>300</v>
      </c>
      <c r="J635" s="505">
        <f ca="1">IFERROR(__xludf.DUMMYFUNCTION("IMPORTRANGE(""https://docs.google.com/spreadsheets/d/11923uPwbBZFjjGgGUA6NLw09EwE0CqkOc4q9oUmW1yo/edit?usp=sharing"",""เพชรบูรณ์!J530"")"),218)</f>
        <v>218</v>
      </c>
      <c r="K635" s="487">
        <f t="shared" ca="1" si="129"/>
        <v>72.666666666666671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3880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3880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3880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IFERROR(__xludf.DUMMYFUNCTION("IMPORTRANGE(""https://docs.google.com/spreadsheets/d/11923uPwbBZFjjGgGUA6NLw09EwE0CqkOc4q9oUmW1yo/edit?usp=sharing"",""เพชรบูรณ์!J541"")"),0)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IFERROR(__xludf.DUMMYFUNCTION("IMPORTRANGE(""https://docs.google.com/spreadsheets/d/11923uPwbBZFjjGgGUA6NLw09EwE0CqkOc4q9oUmW1yo/edit?usp=sharing"",""เพชรบูรณ์!J542"")"),0)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IFERROR(__xludf.DUMMYFUNCTION("IMPORTRANGE(""https://docs.google.com/spreadsheets/d/11923uPwbBZFjjGgGUA6NLw09EwE0CqkOc4q9oUmW1yo/edit?usp=sharing"",""เพชรบูรณ์!I543"")"),38)</f>
        <v>38</v>
      </c>
      <c r="J648" s="536">
        <f ca="1">IFERROR(__xludf.DUMMYFUNCTION("IMPORTRANGE(""https://docs.google.com/spreadsheets/d/11923uPwbBZFjjGgGUA6NLw09EwE0CqkOc4q9oUmW1yo/edit?usp=sharing"",""เพชรบูรณ์!J543"")"),0)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IFERROR(__xludf.DUMMYFUNCTION("IMPORTRANGE(""https://docs.google.com/spreadsheets/d/11923uPwbBZFjjGgGUA6NLw09EwE0CqkOc4q9oUmW1yo/edit?usp=sharing"",""เพชรบูรณ์!L543"")"),3040)</f>
        <v>3040</v>
      </c>
      <c r="M648" s="521"/>
      <c r="N648" s="538">
        <f ca="1">IFERROR(__xludf.DUMMYFUNCTION("IMPORTRANGE(""https://docs.google.com/spreadsheets/d/11923uPwbBZFjjGgGUA6NLw09EwE0CqkOc4q9oUmW1yo/edit?usp=sharing"",""เพชรบูรณ์!M543"")"),0)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IFERROR(__xludf.DUMMYFUNCTION("IMPORTRANGE(""https://docs.google.com/spreadsheets/d/11923uPwbBZFjjGgGUA6NLw09EwE0CqkOc4q9oUmW1yo/edit?usp=sharing"",""เพชรบูรณ์!I544"")"),4)</f>
        <v>4</v>
      </c>
      <c r="J649" s="536">
        <f ca="1">IFERROR(__xludf.DUMMYFUNCTION("IMPORTRANGE(""https://docs.google.com/spreadsheets/d/11923uPwbBZFjjGgGUA6NLw09EwE0CqkOc4q9oUmW1yo/edit?usp=sharing"",""เพชรบูรณ์!J544"")"),0)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IFERROR(__xludf.DUMMYFUNCTION("IMPORTRANGE(""https://docs.google.com/spreadsheets/d/11923uPwbBZFjjGgGUA6NLw09EwE0CqkOc4q9oUmW1yo/edit?usp=sharing"",""เพชรบูรณ์!L544"")"),480)</f>
        <v>480</v>
      </c>
      <c r="M649" s="521"/>
      <c r="N649" s="538">
        <f ca="1">IFERROR(__xludf.DUMMYFUNCTION("IMPORTRANGE(""https://docs.google.com/spreadsheets/d/11923uPwbBZFjjGgGUA6NLw09EwE0CqkOc4q9oUmW1yo/edit?usp=sharing"",""เพชรบูรณ์!M544"")"),0)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IFERROR(__xludf.DUMMYFUNCTION("IMPORTRANGE(""https://docs.google.com/spreadsheets/d/11923uPwbBZFjjGgGUA6NLw09EwE0CqkOc4q9oUmW1yo/edit?usp=sharing"",""เพชรบูรณ์!I545"")"),0)</f>
        <v>0</v>
      </c>
      <c r="J650" s="536">
        <f ca="1">IFERROR(__xludf.DUMMYFUNCTION("IMPORTRANGE(""https://docs.google.com/spreadsheets/d/11923uPwbBZFjjGgGUA6NLw09EwE0CqkOc4q9oUmW1yo/edit?usp=sharing"",""เพชรบูรณ์!J545"")"),0)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IFERROR(__xludf.DUMMYFUNCTION("IMPORTRANGE(""https://docs.google.com/spreadsheets/d/11923uPwbBZFjjGgGUA6NLw09EwE0CqkOc4q9oUmW1yo/edit?usp=sharing"",""เพชรบูรณ์!L545"")"),0)</f>
        <v>0</v>
      </c>
      <c r="M650" s="521"/>
      <c r="N650" s="538">
        <f ca="1">IFERROR(__xludf.DUMMYFUNCTION("IMPORTRANGE(""https://docs.google.com/spreadsheets/d/11923uPwbBZFjjGgGUA6NLw09EwE0CqkOc4q9oUmW1yo/edit?usp=sharing"",""เพชรบูรณ์!M545"")"),0)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IFERROR(__xludf.DUMMYFUNCTION("IMPORTRANGE(""https://docs.google.com/spreadsheets/d/11923uPwbBZFjjGgGUA6NLw09EwE0CqkOc4q9oUmW1yo/edit?usp=sharing"",""เพชรบูรณ์!I546"")"),0)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IFERROR(__xludf.DUMMYFUNCTION("IMPORTRANGE(""https://docs.google.com/spreadsheets/d/11923uPwbBZFjjGgGUA6NLw09EwE0CqkOc4q9oUmW1yo/edit?usp=sharing"",""เพชรบูรณ์!L546"")"),0)</f>
        <v>0</v>
      </c>
      <c r="M651" s="521"/>
      <c r="N651" s="538">
        <f ca="1">IFERROR(__xludf.DUMMYFUNCTION("IMPORTRANGE(""https://docs.google.com/spreadsheets/d/11923uPwbBZFjjGgGUA6NLw09EwE0CqkOc4q9oUmW1yo/edit?usp=sharing"",""เพชรบูรณ์!M546"")"),0)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IFERROR(__xludf.DUMMYFUNCTION("IMPORTRANGE(""https://docs.google.com/spreadsheets/d/11923uPwbBZFjjGgGUA6NLw09EwE0CqkOc4q9oUmW1yo/edit?usp=sharing"",""เพชรบูรณ์!J547"")"),0)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IFERROR(__xludf.DUMMYFUNCTION("IMPORTRANGE(""https://docs.google.com/spreadsheets/d/11923uPwbBZFjjGgGUA6NLw09EwE0CqkOc4q9oUmW1yo/edit?usp=sharing"",""เพชรบูรณ์!J548"")"),0)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IFERROR(__xludf.DUMMYFUNCTION("IMPORTRANGE(""https://docs.google.com/spreadsheets/d/11923uPwbBZFjjGgGUA6NLw09EwE0CqkOc4q9oUmW1yo/edit?usp=sharing"",""เพชรบูรณ์!J550"")"),0)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IFERROR(__xludf.DUMMYFUNCTION("IMPORTRANGE(""https://docs.google.com/spreadsheets/d/11923uPwbBZFjjGgGUA6NLw09EwE0CqkOc4q9oUmW1yo/edit?usp=sharing"",""เพชรบูรณ์!J551"")"),0)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IFERROR(__xludf.DUMMYFUNCTION("IMPORTRANGE(""https://docs.google.com/spreadsheets/d/11923uPwbBZFjjGgGUA6NLw09EwE0CqkOc4q9oUmW1yo/edit?usp=sharing"",""เพชรบูรณ์!J552"")"),0)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IFERROR(__xludf.DUMMYFUNCTION("IMPORTRANGE(""https://docs.google.com/spreadsheets/d/11923uPwbBZFjjGgGUA6NLw09EwE0CqkOc4q9oUmW1yo/edit?usp=sharing"",""เพชรบูรณ์!J553"")"),0)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IFERROR(__xludf.DUMMYFUNCTION("IMPORTRANGE(""https://docs.google.com/spreadsheets/d/11923uPwbBZFjjGgGUA6NLw09EwE0CqkOc4q9oUmW1yo/edit?usp=sharing"",""เพชรบูรณ์!J554"")"),0)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IFERROR(__xludf.DUMMYFUNCTION("IMPORTRANGE(""https://docs.google.com/spreadsheets/d/11923uPwbBZFjjGgGUA6NLw09EwE0CqkOc4q9oUmW1yo/edit?usp=sharing"",""เพชรบูรณ์!J555"")"),0)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IFERROR(__xludf.DUMMYFUNCTION("IMPORTRANGE(""https://docs.google.com/spreadsheets/d/11923uPwbBZFjjGgGUA6NLw09EwE0CqkOc4q9oUmW1yo/edit?usp=sharing"",""เพชรบูรณ์!J556"")"),0)</f>
        <v>0</v>
      </c>
      <c r="K661" s="537"/>
      <c r="L661" s="522">
        <f ca="1">IFERROR(__xludf.DUMMYFUNCTION("IMPORTRANGE(""https://docs.google.com/spreadsheets/d/11923uPwbBZFjjGgGUA6NLw09EwE0CqkOc4q9oUmW1yo/edit?usp=sharing"",""เพชรบูรณ์!L556"")"),0)</f>
        <v>0</v>
      </c>
      <c r="M661" s="521"/>
      <c r="N661" s="538">
        <f ca="1">IFERROR(__xludf.DUMMYFUNCTION("IMPORTRANGE(""https://docs.google.com/spreadsheets/d/11923uPwbBZFjjGgGUA6NLw09EwE0CqkOc4q9oUmW1yo/edit?usp=sharing"",""เพชรบูรณ์!M556"")"),0)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IFERROR(__xludf.DUMMYFUNCTION("IMPORTRANGE(""https://docs.google.com/spreadsheets/d/11923uPwbBZFjjGgGUA6NLw09EwE0CqkOc4q9oUmW1yo/edit?usp=sharing"",""เพชรบูรณ์!J557"")"),0)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IFERROR(__xludf.DUMMYFUNCTION("IMPORTRANGE(""https://docs.google.com/spreadsheets/d/11923uPwbBZFjjGgGUA6NLw09EwE0CqkOc4q9oUmW1yo/edit?usp=sharing"",""เพชรบูรณ์!I558"")"),0)</f>
        <v>0</v>
      </c>
      <c r="J663" s="536">
        <f ca="1">IFERROR(__xludf.DUMMYFUNCTION("IMPORTRANGE(""https://docs.google.com/spreadsheets/d/11923uPwbBZFjjGgGUA6NLw09EwE0CqkOc4q9oUmW1yo/edit?usp=sharing"",""เพชรบูรณ์!J558"")"),0)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IFERROR(__xludf.DUMMYFUNCTION("IMPORTRANGE(""https://docs.google.com/spreadsheets/d/11923uPwbBZFjjGgGUA6NLw09EwE0CqkOc4q9oUmW1yo/edit?usp=sharing"",""เพชรบูรณ์!I560"")"),3)</f>
        <v>3</v>
      </c>
      <c r="J665" s="536">
        <f ca="1">IFERROR(__xludf.DUMMYFUNCTION("IMPORTRANGE(""https://docs.google.com/spreadsheets/d/11923uPwbBZFjjGgGUA6NLw09EwE0CqkOc4q9oUmW1yo/edit?usp=sharing"",""เพชรบูรณ์!J560"")"),0)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IFERROR(__xludf.DUMMYFUNCTION("IMPORTRANGE(""https://docs.google.com/spreadsheets/d/11923uPwbBZFjjGgGUA6NLw09EwE0CqkOc4q9oUmW1yo/edit?usp=sharing"",""เพชรบูรณ์!L560"")"),360)</f>
        <v>360</v>
      </c>
      <c r="M665" s="521"/>
      <c r="N665" s="538">
        <f ca="1">IFERROR(__xludf.DUMMYFUNCTION("IMPORTRANGE(""https://docs.google.com/spreadsheets/d/11923uPwbBZFjjGgGUA6NLw09EwE0CqkOc4q9oUmW1yo/edit?usp=sharing"",""เพชรบูรณ์!M560"")"),0)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IFERROR(__xludf.DUMMYFUNCTION("IMPORTRANGE(""https://docs.google.com/spreadsheets/d/11923uPwbBZFjjGgGUA6NLw09EwE0CqkOc4q9oUmW1yo/edit?usp=sharing"",""เพชรบูรณ์!J561"")"),0)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IFERROR(__xludf.DUMMYFUNCTION("IMPORTRANGE(""https://docs.google.com/spreadsheets/d/11923uPwbBZFjjGgGUA6NLw09EwE0CqkOc4q9oUmW1yo/edit?usp=sharing"",""เพชรบูรณ์!J562"")"),0)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IFERROR(__xludf.DUMMYFUNCTION("IMPORTRANGE(""https://docs.google.com/spreadsheets/d/11923uPwbBZFjjGgGUA6NLw09EwE0CqkOc4q9oUmW1yo/edit?usp=sharing"",""เพชรบูรณ์!I563"")"),0)</f>
        <v>0</v>
      </c>
      <c r="J668" s="536">
        <f ca="1">IFERROR(__xludf.DUMMYFUNCTION("IMPORTRANGE(""https://docs.google.com/spreadsheets/d/11923uPwbBZFjjGgGUA6NLw09EwE0CqkOc4q9oUmW1yo/edit?usp=sharing"",""เพชรบูรณ์!J563"")"),0)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IFERROR(__xludf.DUMMYFUNCTION("IMPORTRANGE(""https://docs.google.com/spreadsheets/d/11923uPwbBZFjjGgGUA6NLw09EwE0CqkOc4q9oUmW1yo/edit?usp=sharing"",""เพชรบูรณ์!L563"")"),0)</f>
        <v>0</v>
      </c>
      <c r="M668" s="521"/>
      <c r="N668" s="538">
        <f ca="1">IFERROR(__xludf.DUMMYFUNCTION("IMPORTRANGE(""https://docs.google.com/spreadsheets/d/11923uPwbBZFjjGgGUA6NLw09EwE0CqkOc4q9oUmW1yo/edit?usp=sharing"",""เพชรบูรณ์!M563"")"),0)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IFERROR(__xludf.DUMMYFUNCTION("IMPORTRANGE(""https://docs.google.com/spreadsheets/d/11923uPwbBZFjjGgGUA6NLw09EwE0CqkOc4q9oUmW1yo/edit?usp=sharing"",""เพชรบูรณ์!J564"")"),0)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IFERROR(__xludf.DUMMYFUNCTION("IMPORTRANGE(""https://docs.google.com/spreadsheets/d/11923uPwbBZFjjGgGUA6NLw09EwE0CqkOc4q9oUmW1yo/edit?usp=sharing"",""เพชรบูรณ์!J565"")"),0)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IFERROR(__xludf.DUMMYFUNCTION("IMPORTRANGE(""https://docs.google.com/spreadsheets/d/11923uPwbBZFjjGgGUA6NLw09EwE0CqkOc4q9oUmW1yo/edit?usp=sharing"",""เพชรบูรณ์!I566"")"),0)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IFERROR(__xludf.DUMMYFUNCTION("IMPORTRANGE(""https://docs.google.com/spreadsheets/d/11923uPwbBZFjjGgGUA6NLw09EwE0CqkOc4q9oUmW1yo/edit?usp=sharing"",""เพชรบูรณ์!L566"")"),0)</f>
        <v>0</v>
      </c>
      <c r="M671" s="521"/>
      <c r="N671" s="538">
        <f ca="1">IFERROR(__xludf.DUMMYFUNCTION("IMPORTRANGE(""https://docs.google.com/spreadsheets/d/11923uPwbBZFjjGgGUA6NLw09EwE0CqkOc4q9oUmW1yo/edit?usp=sharing"",""เพชรบูรณ์!M566"")"),0)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IFERROR(__xludf.DUMMYFUNCTION("IMPORTRANGE(""https://docs.google.com/spreadsheets/d/11923uPwbBZFjjGgGUA6NLw09EwE0CqkOc4q9oUmW1yo/edit?usp=sharing"",""เพชรบูรณ์!J567"")"),0)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IFERROR(__xludf.DUMMYFUNCTION("IMPORTRANGE(""https://docs.google.com/spreadsheets/d/11923uPwbBZFjjGgGUA6NLw09EwE0CqkOc4q9oUmW1yo/edit?usp=sharing"",""เพชรบูรณ์!J568"")"),0)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IFERROR(__xludf.DUMMYFUNCTION("IMPORTRANGE(""https://docs.google.com/spreadsheets/d/11923uPwbBZFjjGgGUA6NLw09EwE0CqkOc4q9oUmW1yo/edit?usp=sharing"",""เพชรบูรณ์!J569"")"),0)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IFERROR(__xludf.DUMMYFUNCTION("IMPORTRANGE(""https://docs.google.com/spreadsheets/d/11923uPwbBZFjjGgGUA6NLw09EwE0CqkOc4q9oUmW1yo/edit?usp=sharing"",""เพชรบูรณ์!J570"")"),0)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IFERROR(__xludf.DUMMYFUNCTION("IMPORTRANGE(""https://docs.google.com/spreadsheets/d/11923uPwbBZFjjGgGUA6NLw09EwE0CqkOc4q9oUmW1yo/edit?usp=sharing"",""เพชรบูรณ์!J571"")"),0)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IFERROR(__xludf.DUMMYFUNCTION("IMPORTRANGE(""https://docs.google.com/spreadsheets/d/11923uPwbBZFjjGgGUA6NLw09EwE0CqkOc4q9oUmW1yo/edit?usp=sharing"",""เพชรบูรณ์!J572"")"),0)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3:P3"/>
    <mergeCell ref="A2:P2"/>
    <mergeCell ref="A1:P1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15031639.24</v>
      </c>
      <c r="M8" s="23">
        <f t="shared" ca="1" si="0"/>
        <v>13272101.24</v>
      </c>
      <c r="N8" s="23">
        <f t="shared" ca="1" si="0"/>
        <v>13423490.579999998</v>
      </c>
      <c r="O8" s="22">
        <f t="shared" ref="O8:O16" ca="1" si="1">IF(L8&gt;0,N8*100/L8,0)</f>
        <v>89.301574935881689</v>
      </c>
      <c r="P8" s="22">
        <f t="shared" ref="P8:P16" ca="1" si="2">IF(M8&gt;0,N8*100/M8,0)</f>
        <v>101.14065841770204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15031639.24</v>
      </c>
      <c r="M10" s="30">
        <f t="shared" ca="1" si="4"/>
        <v>13272101.24</v>
      </c>
      <c r="N10" s="30">
        <f t="shared" ca="1" si="4"/>
        <v>13423490.579999998</v>
      </c>
      <c r="O10" s="29">
        <f t="shared" ca="1" si="1"/>
        <v>89.301574935881689</v>
      </c>
      <c r="P10" s="29">
        <f t="shared" ca="1" si="2"/>
        <v>101.14065841770204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4665965</v>
      </c>
      <c r="M12" s="39">
        <f t="shared" ca="1" si="6"/>
        <v>2906427</v>
      </c>
      <c r="N12" s="39">
        <f t="shared" ca="1" si="6"/>
        <v>3311114.7199999997</v>
      </c>
      <c r="O12" s="39">
        <f t="shared" ca="1" si="1"/>
        <v>70.963128098903439</v>
      </c>
      <c r="P12" s="39">
        <f t="shared" ca="1" si="2"/>
        <v>113.92389074282616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1871100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2794865</v>
      </c>
      <c r="M14" s="39">
        <f t="shared" si="8"/>
        <v>0</v>
      </c>
      <c r="N14" s="39">
        <f t="shared" ca="1" si="8"/>
        <v>901951.45</v>
      </c>
      <c r="O14" s="39">
        <f t="shared" ca="1" si="1"/>
        <v>32.271735844128429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10365674.24</v>
      </c>
      <c r="M16" s="39">
        <f t="shared" ca="1" si="10"/>
        <v>10365674.24</v>
      </c>
      <c r="N16" s="39">
        <f t="shared" ca="1" si="10"/>
        <v>10112375.859999999</v>
      </c>
      <c r="O16" s="50">
        <f t="shared" ca="1" si="1"/>
        <v>97.556373332450008</v>
      </c>
      <c r="P16" s="50">
        <f t="shared" ca="1" si="2"/>
        <v>97.556373332450008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13166179.24</v>
      </c>
      <c r="M18" s="23">
        <f t="shared" ca="1" si="11"/>
        <v>13272101.24</v>
      </c>
      <c r="N18" s="23">
        <f t="shared" ca="1" si="11"/>
        <v>12521539.129999999</v>
      </c>
      <c r="O18" s="22">
        <f t="shared" ref="O18:O20" ca="1" si="12">IF(L18&gt;0,N18*100/L18,0)</f>
        <v>95.1038179091355</v>
      </c>
      <c r="P18" s="22">
        <f t="shared" ref="P18:P26" ca="1" si="13">IF(M18&gt;0,N18*100/M18,0)</f>
        <v>94.344813255809669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13166179.24</v>
      </c>
      <c r="M20" s="30">
        <f t="shared" ca="1" si="15"/>
        <v>13272101.24</v>
      </c>
      <c r="N20" s="30">
        <f t="shared" ca="1" si="15"/>
        <v>12521539.129999999</v>
      </c>
      <c r="O20" s="29">
        <f t="shared" ca="1" si="12"/>
        <v>95.1038179091355</v>
      </c>
      <c r="P20" s="29">
        <f t="shared" ca="1" si="13"/>
        <v>94.344813255809669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2800505</v>
      </c>
      <c r="M22" s="42">
        <f t="shared" ca="1" si="18"/>
        <v>2906427</v>
      </c>
      <c r="N22" s="39">
        <f t="shared" ca="1" si="18"/>
        <v>2409163.27</v>
      </c>
      <c r="O22" s="39">
        <f t="shared" ca="1" si="17"/>
        <v>86.026029948170063</v>
      </c>
      <c r="P22" s="39">
        <f t="shared" ca="1" si="13"/>
        <v>82.89089215039634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1871100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929405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10365674.24</v>
      </c>
      <c r="M26" s="50">
        <f t="shared" ca="1" si="22"/>
        <v>10365674.24</v>
      </c>
      <c r="N26" s="50">
        <f t="shared" ca="1" si="22"/>
        <v>10112375.859999999</v>
      </c>
      <c r="O26" s="50">
        <f t="shared" ca="1" si="17"/>
        <v>97.556373332450008</v>
      </c>
      <c r="P26" s="50">
        <f t="shared" ca="1" si="13"/>
        <v>97.556373332450008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1865460</v>
      </c>
      <c r="M28" s="23">
        <f t="shared" si="23"/>
        <v>0</v>
      </c>
      <c r="N28" s="23">
        <f t="shared" ca="1" si="23"/>
        <v>901951.45</v>
      </c>
      <c r="O28" s="22">
        <f t="shared" ref="O28:O30" ca="1" si="24">IF(L28&gt;0,N28*100/L28,0)</f>
        <v>48.350082553364857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1865460</v>
      </c>
      <c r="M30" s="30">
        <f t="shared" si="27"/>
        <v>0</v>
      </c>
      <c r="N30" s="30">
        <f t="shared" ca="1" si="27"/>
        <v>901951.45</v>
      </c>
      <c r="O30" s="29">
        <f t="shared" ca="1" si="24"/>
        <v>48.350082553364857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1865460</v>
      </c>
      <c r="M32" s="39">
        <f t="shared" si="30"/>
        <v>0</v>
      </c>
      <c r="N32" s="39">
        <f t="shared" ca="1" si="30"/>
        <v>901951.45</v>
      </c>
      <c r="O32" s="39">
        <f t="shared" ca="1" si="29"/>
        <v>48.350082553364857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1865460</v>
      </c>
      <c r="M34" s="39">
        <f t="shared" si="32"/>
        <v>0</v>
      </c>
      <c r="N34" s="39">
        <f t="shared" ca="1" si="32"/>
        <v>901951.45</v>
      </c>
      <c r="O34" s="39">
        <f t="shared" ca="1" si="29"/>
        <v>48.350082553364857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13166179.24</v>
      </c>
      <c r="M37" s="55">
        <f t="shared" ca="1" si="33"/>
        <v>13272101.24</v>
      </c>
      <c r="N37" s="55">
        <f t="shared" ca="1" si="33"/>
        <v>12521539.130000001</v>
      </c>
      <c r="O37" s="56">
        <f t="shared" ca="1" si="29"/>
        <v>95.1038179091355</v>
      </c>
      <c r="P37" s="56">
        <f t="shared" ca="1" si="25"/>
        <v>94.344813255809669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7765700</v>
      </c>
      <c r="M41" s="79">
        <f t="shared" ca="1" si="34"/>
        <v>7765700</v>
      </c>
      <c r="N41" s="79">
        <f t="shared" ca="1" si="34"/>
        <v>7400566.7599999998</v>
      </c>
      <c r="O41" s="78">
        <f t="shared" ref="O41:O43" ca="1" si="35">IF(L41&gt;0,N41*100/L41,0)</f>
        <v>95.298128436586524</v>
      </c>
      <c r="P41" s="78">
        <f t="shared" ref="P41:P43" ca="1" si="36">IF(M41&gt;0,N41*100/M41,0)</f>
        <v>95.298128436586524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7765700</v>
      </c>
      <c r="M43" s="79">
        <f t="shared" ca="1" si="38"/>
        <v>7765700</v>
      </c>
      <c r="N43" s="79">
        <f t="shared" ca="1" si="38"/>
        <v>7400566.7599999998</v>
      </c>
      <c r="O43" s="78">
        <f t="shared" ca="1" si="35"/>
        <v>95.298128436586524</v>
      </c>
      <c r="P43" s="78">
        <f t="shared" ca="1" si="36"/>
        <v>95.298128436586524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610700</v>
      </c>
      <c r="M45" s="50">
        <f ca="1">IFERROR(__xludf.DUMMYFUNCTION("IMPORTRANGE(""https://docs.google.com/spreadsheets/d/1Yj_ptqi66GCucihVvJfMjLAmec39IyEx_6qawtMGysU/edit?usp=sharing"",""สบก!Q30"")"),610700)</f>
        <v>610700</v>
      </c>
      <c r="N45" s="50">
        <f ca="1">IFERROR(__xludf.DUMMYFUNCTION("IMPORTRANGE(""https://docs.google.com/spreadsheets/d/1Yj_ptqi66GCucihVvJfMjLAmec39IyEx_6qawtMGysU/edit?usp=sharing"",""สบก!R30"")"),498865.14)</f>
        <v>498865.14</v>
      </c>
      <c r="O45" s="39">
        <f ca="1">IF(L45&gt;0,N45*100/L45,0)</f>
        <v>81.687430817095134</v>
      </c>
      <c r="P45" s="39">
        <f ca="1">IF(M45&gt;0,N45*100/M45,0)</f>
        <v>81.687430817095134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IFERROR(__xludf.DUMMYFUNCTION("IMPORTRANGE(""https://docs.google.com/spreadsheets/d/1Yj_ptqi66GCucihVvJfMjLAmec39IyEx_6qawtMGysU/edit?usp=sharing"",""สบก!M30"")"),610700)</f>
        <v>610700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IFERROR(__xludf.DUMMYFUNCTION("IMPORTRANGE(""https://docs.google.com/spreadsheets/d/1Yj_ptqi66GCucihVvJfMjLAmec39IyEx_6qawtMGysU/edit?usp=sharing"",""สบก!N30"")"),0)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IFERROR(__xludf.DUMMYFUNCTION("IMPORTRANGE(""https://docs.google.com/spreadsheets/d/1Yj_ptqi66GCucihVvJfMjLAmec39IyEx_6qawtMGysU/edit?usp=sharing"",""สบก!O30"")"),7155000)</f>
        <v>7155000</v>
      </c>
      <c r="M49" s="50">
        <f ca="1">L49</f>
        <v>7155000</v>
      </c>
      <c r="N49" s="50">
        <f ca="1">IFERROR(__xludf.DUMMYFUNCTION("IMPORTRANGE(""https://docs.google.com/spreadsheets/d/1Yj_ptqi66GCucihVvJfMjLAmec39IyEx_6qawtMGysU/edit?usp=sharing"",""สบก!S30"")"),6901701.62)</f>
        <v>6901701.6200000001</v>
      </c>
      <c r="O49" s="50">
        <f ca="1">IF(L49&gt;0,N49*100/L49,0)</f>
        <v>96.459840950384347</v>
      </c>
      <c r="P49" s="52">
        <f ca="1">IF(M49&gt;0,N49*100/M49,0)</f>
        <v>96.459840950384347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637200</v>
      </c>
      <c r="M53" s="121">
        <f t="shared" ca="1" si="39"/>
        <v>637200</v>
      </c>
      <c r="N53" s="121">
        <f t="shared" ca="1" si="39"/>
        <v>508300</v>
      </c>
      <c r="O53" s="120">
        <f t="shared" ref="O53:O55" ca="1" si="40">IF(L53&gt;0,N53*100/L53,0)</f>
        <v>79.770872567482741</v>
      </c>
      <c r="P53" s="120">
        <f t="shared" ref="P53:P55" ca="1" si="41">IF(M53&gt;0,N53*100/M53,0)</f>
        <v>79.770872567482741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637200</v>
      </c>
      <c r="M55" s="121">
        <f t="shared" ca="1" si="43"/>
        <v>637200</v>
      </c>
      <c r="N55" s="121">
        <f t="shared" ca="1" si="43"/>
        <v>508300</v>
      </c>
      <c r="O55" s="120">
        <f t="shared" ca="1" si="40"/>
        <v>79.770872567482741</v>
      </c>
      <c r="P55" s="120">
        <f t="shared" ca="1" si="41"/>
        <v>79.770872567482741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637200</v>
      </c>
      <c r="M57" s="50">
        <f ca="1">IFERROR(__xludf.DUMMYFUNCTION("IMPORTRANGE(""https://docs.google.com/spreadsheets/d/1Yj_ptqi66GCucihVvJfMjLAmec39IyEx_6qawtMGysU/edit?usp=sharing"",""สบก!Z30"")"),637200)</f>
        <v>637200</v>
      </c>
      <c r="N57" s="50">
        <f ca="1">IFERROR(__xludf.DUMMYFUNCTION("IMPORTRANGE(""https://docs.google.com/spreadsheets/d/1Yj_ptqi66GCucihVvJfMjLAmec39IyEx_6qawtMGysU/edit?usp=sharing"",""สบก!AA30"")"),508300)</f>
        <v>508300</v>
      </c>
      <c r="O57" s="39">
        <f ca="1">IF(L57&gt;0,N57*100/L57,0)</f>
        <v>79.770872567482741</v>
      </c>
      <c r="P57" s="39">
        <f ca="1">IF(M57&gt;0,N57*100/M57,0)</f>
        <v>79.770872567482741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IFERROR(__xludf.DUMMYFUNCTION("IMPORTRANGE(""https://docs.google.com/spreadsheets/d/1Yj_ptqi66GCucihVvJfMjLAmec39IyEx_6qawtMGysU/edit?usp=sharing"",""สบก!V30"")"),637200)</f>
        <v>637200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IFERROR(__xludf.DUMMYFUNCTION("IMPORTRANGE(""https://docs.google.com/spreadsheets/d/1Yj_ptqi66GCucihVvJfMjLAmec39IyEx_6qawtMGysU/edit?usp=sharing"",""สบก!W30"")"),0)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IFERROR(__xludf.DUMMYFUNCTION("IMPORTRANGE(""https://docs.google.com/spreadsheets/d/1Yj_ptqi66GCucihVvJfMjLAmec39IyEx_6qawtMGysU/edit?usp=sharing"",""สบก!X30"")"),0)</f>
        <v>0</v>
      </c>
      <c r="M61" s="50"/>
      <c r="N61" s="50">
        <f ca="1">IFERROR(__xludf.DUMMYFUNCTION("IMPORTRANGE(""https://docs.google.com/spreadsheets/d/1Yj_ptqi66GCucihVvJfMjLAmec39IyEx_6qawtMGysU/edit?usp=sharing"",""สบก!AB30"")"),0)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IFERROR(__xludf.DUMMYFUNCTION("IMPORTRANGE(""https://docs.google.com/spreadsheets/d/11923uPwbBZFjjGgGUA6NLw09EwE0CqkOc4q9oUmW1yo/edit?usp=sharing"",""แพร่!I9"")"),0)</f>
        <v>0</v>
      </c>
      <c r="J64" s="142">
        <f ca="1">IFERROR(__xludf.DUMMYFUNCTION("IMPORTRANGE(""https://docs.google.com/spreadsheets/d/11923uPwbBZFjjGgGUA6NLw09EwE0CqkOc4q9oUmW1yo/edit?usp=sharing"",""แพร่!J9"")"),0)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IFERROR(__xludf.DUMMYFUNCTION("IMPORTRANGE(""https://docs.google.com/spreadsheets/d/11923uPwbBZFjjGgGUA6NLw09EwE0CqkOc4q9oUmW1yo/edit?usp=sharing"",""แพร่!I10"")"),0)</f>
        <v>0</v>
      </c>
      <c r="J65" s="142">
        <f ca="1">IFERROR(__xludf.DUMMYFUNCTION("IMPORTRANGE(""https://docs.google.com/spreadsheets/d/11923uPwbBZFjjGgGUA6NLw09EwE0CqkOc4q9oUmW1yo/edit?usp=sharing"",""แพร่!J10"")"),0)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3015874.24</v>
      </c>
      <c r="M66" s="152">
        <f t="shared" ca="1" si="45"/>
        <v>3015874.24</v>
      </c>
      <c r="N66" s="152">
        <f t="shared" ca="1" si="45"/>
        <v>3015874.24</v>
      </c>
      <c r="O66" s="151">
        <f t="shared" ref="O66:O68" ca="1" si="46">IF(L66&gt;0,N66*100/L66,0)</f>
        <v>99.999999999999986</v>
      </c>
      <c r="P66" s="151">
        <f t="shared" ref="P66:P68" ca="1" si="47">IF(M66&gt;0,N66*100/M66,0)</f>
        <v>99.999999999999986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3015874.24</v>
      </c>
      <c r="M68" s="88">
        <f t="shared" ca="1" si="49"/>
        <v>3015874.24</v>
      </c>
      <c r="N68" s="88">
        <f t="shared" ca="1" si="49"/>
        <v>3015874.24</v>
      </c>
      <c r="O68" s="156">
        <f t="shared" ca="1" si="46"/>
        <v>99.999999999999986</v>
      </c>
      <c r="P68" s="156">
        <f t="shared" ca="1" si="47"/>
        <v>99.999999999999986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IFERROR(__xludf.DUMMYFUNCTION("IMPORTRANGE(""https://docs.google.com/spreadsheets/d/1Yj_ptqi66GCucihVvJfMjLAmec39IyEx_6qawtMGysU/edit?usp=sharing"",""สบก!AI30"")"),0)</f>
        <v>0</v>
      </c>
      <c r="N70" s="168">
        <f ca="1">IFERROR(__xludf.DUMMYFUNCTION("IMPORTRANGE(""https://docs.google.com/spreadsheets/d/1Yj_ptqi66GCucihVvJfMjLAmec39IyEx_6qawtMGysU/edit?usp=sharing"",""สบก!AJ30"")"),0)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IFERROR(__xludf.DUMMYFUNCTION("IMPORTRANGE(""https://docs.google.com/spreadsheets/d/1Yj_ptqi66GCucihVvJfMjLAmec39IyEx_6qawtMGysU/edit?usp=sharing"",""สบก!AE30"")"),0)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IFERROR(__xludf.DUMMYFUNCTION("IMPORTRANGE(""https://docs.google.com/spreadsheets/d/1Yj_ptqi66GCucihVvJfMjLAmec39IyEx_6qawtMGysU/edit?usp=sharing"",""สบก!AF30"")"),0)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IFERROR(__xludf.DUMMYFUNCTION("IMPORTRANGE(""https://docs.google.com/spreadsheets/d/1Yj_ptqi66GCucihVvJfMjLAmec39IyEx_6qawtMGysU/edit?usp=sharing"",""สบก!AG30"")"),3015874.24)</f>
        <v>3015874.24</v>
      </c>
      <c r="M74" s="50">
        <f ca="1">L74</f>
        <v>3015874.24</v>
      </c>
      <c r="N74" s="50">
        <f ca="1">IFERROR(__xludf.DUMMYFUNCTION("IMPORTRANGE(""https://docs.google.com/spreadsheets/d/1Yj_ptqi66GCucihVvJfMjLAmec39IyEx_6qawtMGysU/edit?usp=sharing"",""สบก!AK30"")"),3015874.24)</f>
        <v>3015874.24</v>
      </c>
      <c r="O74" s="50">
        <f ca="1">IF(L74&gt;0,N74*100/L74,0)</f>
        <v>99.999999999999986</v>
      </c>
      <c r="P74" s="50">
        <f ca="1">IF(M74&gt;0,N74*100/M74,0)</f>
        <v>99.999999999999986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IFERROR(__xludf.DUMMYFUNCTION("IMPORTRANGE(""https://docs.google.com/spreadsheets/d/11923uPwbBZFjjGgGUA6NLw09EwE0CqkOc4q9oUmW1yo/edit?usp=sharing"",""แพร่!J16"")"),0)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IFERROR(__xludf.DUMMYFUNCTION("IMPORTRANGE(""https://docs.google.com/spreadsheets/d/11923uPwbBZFjjGgGUA6NLw09EwE0CqkOc4q9oUmW1yo/edit?usp=sharing"",""แพร่!J17"")"),0)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IFERROR(__xludf.DUMMYFUNCTION("IMPORTRANGE(""https://docs.google.com/spreadsheets/d/11923uPwbBZFjjGgGUA6NLw09EwE0CqkOc4q9oUmW1yo/edit?usp=sharing"",""แพร่!J18"")"),0)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IFERROR(__xludf.DUMMYFUNCTION("IMPORTRANGE(""https://docs.google.com/spreadsheets/d/11923uPwbBZFjjGgGUA6NLw09EwE0CqkOc4q9oUmW1yo/edit?usp=sharing"",""แพร่!J19"")"),0)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IFERROR(__xludf.DUMMYFUNCTION("IMPORTRANGE(""https://docs.google.com/spreadsheets/d/11923uPwbBZFjjGgGUA6NLw09EwE0CqkOc4q9oUmW1yo/edit?usp=sharing"",""แพร่!I20"")"),0)</f>
        <v>0</v>
      </c>
      <c r="J80" s="200">
        <f ca="1">IFERROR(__xludf.DUMMYFUNCTION("IMPORTRANGE(""https://docs.google.com/spreadsheets/d/11923uPwbBZFjjGgGUA6NLw09EwE0CqkOc4q9oUmW1yo/edit?usp=sharing"",""แพร่!J20"")"),0)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IFERROR(__xludf.DUMMYFUNCTION("IMPORTRANGE(""https://docs.google.com/spreadsheets/d/11923uPwbBZFjjGgGUA6NLw09EwE0CqkOc4q9oUmW1yo/edit?usp=sharing"",""แพร่!I21"")"),0)</f>
        <v>0</v>
      </c>
      <c r="J81" s="200">
        <f ca="1">IFERROR(__xludf.DUMMYFUNCTION("IMPORTRANGE(""https://docs.google.com/spreadsheets/d/11923uPwbBZFjjGgGUA6NLw09EwE0CqkOc4q9oUmW1yo/edit?usp=sharing"",""แพร่!J21"")"),0)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IFERROR(__xludf.DUMMYFUNCTION("IMPORTRANGE(""https://docs.google.com/spreadsheets/d/11923uPwbBZFjjGgGUA6NLw09EwE0CqkOc4q9oUmW1yo/edit?usp=sharing"",""แพร่!I22"")"),0)</f>
        <v>0</v>
      </c>
      <c r="J82" s="203">
        <f ca="1">IFERROR(__xludf.DUMMYFUNCTION("IMPORTRANGE(""https://docs.google.com/spreadsheets/d/11923uPwbBZFjjGgGUA6NLw09EwE0CqkOc4q9oUmW1yo/edit?usp=sharing"",""แพร่!J22"")"),0)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IFERROR(__xludf.DUMMYFUNCTION("IMPORTRANGE(""https://docs.google.com/spreadsheets/d/11923uPwbBZFjjGgGUA6NLw09EwE0CqkOc4q9oUmW1yo/edit?usp=sharing"",""แพร่!I23"")"),0)</f>
        <v>0</v>
      </c>
      <c r="J83" s="203">
        <f ca="1">IFERROR(__xludf.DUMMYFUNCTION("IMPORTRANGE(""https://docs.google.com/spreadsheets/d/11923uPwbBZFjjGgGUA6NLw09EwE0CqkOc4q9oUmW1yo/edit?usp=sharing"",""แพร่!J23"")"),0)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IFERROR(__xludf.DUMMYFUNCTION("IMPORTRANGE(""https://docs.google.com/spreadsheets/d/11923uPwbBZFjjGgGUA6NLw09EwE0CqkOc4q9oUmW1yo/edit?usp=sharing"",""แพร่!I24"")"),0)</f>
        <v>0</v>
      </c>
      <c r="J84" s="188">
        <f ca="1">IFERROR(__xludf.DUMMYFUNCTION("IMPORTRANGE(""https://docs.google.com/spreadsheets/d/11923uPwbBZFjjGgGUA6NLw09EwE0CqkOc4q9oUmW1yo/edit?usp=sharing"",""แพร่!J24"")"),0)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IFERROR(__xludf.DUMMYFUNCTION("IMPORTRANGE(""https://docs.google.com/spreadsheets/d/11923uPwbBZFjjGgGUA6NLw09EwE0CqkOc4q9oUmW1yo/edit?usp=sharing"",""แพร่!I25"")"),0)</f>
        <v>0</v>
      </c>
      <c r="J85" s="188">
        <f ca="1">IFERROR(__xludf.DUMMYFUNCTION("IMPORTRANGE(""https://docs.google.com/spreadsheets/d/11923uPwbBZFjjGgGUA6NLw09EwE0CqkOc4q9oUmW1yo/edit?usp=sharing"",""แพร่!J25"")"),0)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IFERROR(__xludf.DUMMYFUNCTION("IMPORTRANGE(""https://docs.google.com/spreadsheets/d/11923uPwbBZFjjGgGUA6NLw09EwE0CqkOc4q9oUmW1yo/edit?usp=sharing"",""แพร่!I26"")"),0)</f>
        <v>0</v>
      </c>
      <c r="J86" s="203">
        <f ca="1">IFERROR(__xludf.DUMMYFUNCTION("IMPORTRANGE(""https://docs.google.com/spreadsheets/d/11923uPwbBZFjjGgGUA6NLw09EwE0CqkOc4q9oUmW1yo/edit?usp=sharing"",""แพร่!J26"")"),0)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IFERROR(__xludf.DUMMYFUNCTION("IMPORTRANGE(""https://docs.google.com/spreadsheets/d/11923uPwbBZFjjGgGUA6NLw09EwE0CqkOc4q9oUmW1yo/edit?usp=sharing"",""แพร่!I27"")"),0)</f>
        <v>0</v>
      </c>
      <c r="J87" s="203">
        <f ca="1">IFERROR(__xludf.DUMMYFUNCTION("IMPORTRANGE(""https://docs.google.com/spreadsheets/d/11923uPwbBZFjjGgGUA6NLw09EwE0CqkOc4q9oUmW1yo/edit?usp=sharing"",""แพร่!J27"")"),0)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IFERROR(__xludf.DUMMYFUNCTION("IMPORTRANGE(""https://docs.google.com/spreadsheets/d/11923uPwbBZFjjGgGUA6NLw09EwE0CqkOc4q9oUmW1yo/edit?usp=sharing"",""แพร่!I28"")"),0)</f>
        <v>0</v>
      </c>
      <c r="J88" s="203">
        <f ca="1">IFERROR(__xludf.DUMMYFUNCTION("IMPORTRANGE(""https://docs.google.com/spreadsheets/d/11923uPwbBZFjjGgGUA6NLw09EwE0CqkOc4q9oUmW1yo/edit?usp=sharing"",""แพร่!J28"")"),0)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IFERROR(__xludf.DUMMYFUNCTION("IMPORTRANGE(""https://docs.google.com/spreadsheets/d/11923uPwbBZFjjGgGUA6NLw09EwE0CqkOc4q9oUmW1yo/edit?usp=sharing"",""แพร่!J29"")"),0)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IFERROR(__xludf.DUMMYFUNCTION("IMPORTRANGE(""https://docs.google.com/spreadsheets/d/11923uPwbBZFjjGgGUA6NLw09EwE0CqkOc4q9oUmW1yo/edit?usp=sharing"",""แพร่!J30"")"),0)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IFERROR(__xludf.DUMMYFUNCTION("IMPORTRANGE(""https://docs.google.com/spreadsheets/d/11923uPwbBZFjjGgGUA6NLw09EwE0CqkOc4q9oUmW1yo/edit?usp=sharing"",""แพร่!I32"")"),7)</f>
        <v>7</v>
      </c>
      <c r="J92" s="142">
        <f ca="1">IFERROR(__xludf.DUMMYFUNCTION("IMPORTRANGE(""https://docs.google.com/spreadsheets/d/11923uPwbBZFjjGgGUA6NLw09EwE0CqkOc4q9oUmW1yo/edit?usp=sharing"",""แพร่!J32"")"),7)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IFERROR(__xludf.DUMMYFUNCTION("IMPORTRANGE(""https://docs.google.com/spreadsheets/d/11923uPwbBZFjjGgGUA6NLw09EwE0CqkOc4q9oUmW1yo/edit?usp=sharing"",""แพร่!I33"")"),2)</f>
        <v>2</v>
      </c>
      <c r="J93" s="142">
        <f ca="1">IFERROR(__xludf.DUMMYFUNCTION("IMPORTRANGE(""https://docs.google.com/spreadsheets/d/11923uPwbBZFjjGgGUA6NLw09EwE0CqkOc4q9oUmW1yo/edit?usp=sharing"",""แพร่!J33"")"),2)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298471</v>
      </c>
      <c r="O94" s="151">
        <f t="shared" ref="O94:O96" ca="1" si="53">IF(L94&gt;0,N94*100/L94,0)</f>
        <v>93.576310509154752</v>
      </c>
      <c r="P94" s="151">
        <f t="shared" ref="P94:P96" ca="1" si="54">IF(M94&gt;0,N94*100/M94,0)</f>
        <v>93.576310509154752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298471</v>
      </c>
      <c r="O96" s="156">
        <f t="shared" ca="1" si="53"/>
        <v>93.576310509154752</v>
      </c>
      <c r="P96" s="156">
        <f t="shared" ca="1" si="54"/>
        <v>93.576310509154752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IFERROR(__xludf.DUMMYFUNCTION("IMPORTRANGE(""https://docs.google.com/spreadsheets/d/1Yj_ptqi66GCucihVvJfMjLAmec39IyEx_6qawtMGysU/edit?usp=sharing"",""สบก!AR30"")"),134160)</f>
        <v>134160</v>
      </c>
      <c r="N98" s="168">
        <f ca="1">IFERROR(__xludf.DUMMYFUNCTION("IMPORTRANGE(""https://docs.google.com/spreadsheets/d/1Yj_ptqi66GCucihVvJfMjLAmec39IyEx_6qawtMGysU/edit?usp=sharing"",""สบก!AS30"")"),113671)</f>
        <v>113671</v>
      </c>
      <c r="O98" s="168">
        <f ca="1">IF(L98&gt;0,N98*100/L98,0)</f>
        <v>84.727936791890286</v>
      </c>
      <c r="P98" s="168">
        <f ca="1">IF(M98&gt;0,N98*100/M98,0)</f>
        <v>84.727936791890286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IFERROR(__xludf.DUMMYFUNCTION("IMPORTRANGE(""https://docs.google.com/spreadsheets/d/1Yj_ptqi66GCucihVvJfMjLAmec39IyEx_6qawtMGysU/edit?usp=sharing"",""สบก!AN30"")"),0)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IFERROR(__xludf.DUMMYFUNCTION("IMPORTRANGE(""https://docs.google.com/spreadsheets/d/1Yj_ptqi66GCucihVvJfMjLAmec39IyEx_6qawtMGysU/edit?usp=sharing"",""สบก!AO30"")"),134160)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IFERROR(__xludf.DUMMYFUNCTION("IMPORTRANGE(""https://docs.google.com/spreadsheets/d/1Yj_ptqi66GCucihVvJfMjLAmec39IyEx_6qawtMGysU/edit?usp=sharing"",""สบก!AP30"")"),184800)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IFERROR(__xludf.DUMMYFUNCTION("IMPORTRANGE(""https://docs.google.com/spreadsheets/d/1Yj_ptqi66GCucihVvJfMjLAmec39IyEx_6qawtMGysU/edit?usp=sharing"",""สบก!AT30"")"),184800)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IFERROR(__xludf.DUMMYFUNCTION("IMPORTRANGE(""https://docs.google.com/spreadsheets/d/11923uPwbBZFjjGgGUA6NLw09EwE0CqkOc4q9oUmW1yo/edit?usp=sharing"",""แพร่!J39"")"),0)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IFERROR(__xludf.DUMMYFUNCTION("IMPORTRANGE(""https://docs.google.com/spreadsheets/d/11923uPwbBZFjjGgGUA6NLw09EwE0CqkOc4q9oUmW1yo/edit?usp=sharing"",""แพร่!J40"")"),1)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IFERROR(__xludf.DUMMYFUNCTION("IMPORTRANGE(""https://docs.google.com/spreadsheets/d/11923uPwbBZFjjGgGUA6NLw09EwE0CqkOc4q9oUmW1yo/edit?usp=sharing"",""แพร่!J41"")"),1)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IFERROR(__xludf.DUMMYFUNCTION("IMPORTRANGE(""https://docs.google.com/spreadsheets/d/11923uPwbBZFjjGgGUA6NLw09EwE0CqkOc4q9oUmW1yo/edit?usp=sharing"",""แพร่!J42"")"),1)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IFERROR(__xludf.DUMMYFUNCTION("IMPORTRANGE(""https://docs.google.com/spreadsheets/d/11923uPwbBZFjjGgGUA6NLw09EwE0CqkOc4q9oUmW1yo/edit?usp=sharing"",""แพร่!I43"")"),1)</f>
        <v>1</v>
      </c>
      <c r="J108" s="203">
        <f ca="1">IFERROR(__xludf.DUMMYFUNCTION("IMPORTRANGE(""https://docs.google.com/spreadsheets/d/11923uPwbBZFjjGgGUA6NLw09EwE0CqkOc4q9oUmW1yo/edit?usp=sharing"",""แพร่!J43"")"),1)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IFERROR(__xludf.DUMMYFUNCTION("IMPORTRANGE(""https://docs.google.com/spreadsheets/d/11923uPwbBZFjjGgGUA6NLw09EwE0CqkOc4q9oUmW1yo/edit?usp=sharing"",""แพร่!I44"")"),7)</f>
        <v>7</v>
      </c>
      <c r="J109" s="203">
        <f ca="1">IFERROR(__xludf.DUMMYFUNCTION("IMPORTRANGE(""https://docs.google.com/spreadsheets/d/11923uPwbBZFjjGgGUA6NLw09EwE0CqkOc4q9oUmW1yo/edit?usp=sharing"",""แพร่!J44"")"),7)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IFERROR(__xludf.DUMMYFUNCTION("IMPORTRANGE(""https://docs.google.com/spreadsheets/d/11923uPwbBZFjjGgGUA6NLw09EwE0CqkOc4q9oUmW1yo/edit?usp=sharing"",""แพร่!I45"")"),7)</f>
        <v>7</v>
      </c>
      <c r="J110" s="203">
        <f ca="1">IFERROR(__xludf.DUMMYFUNCTION("IMPORTRANGE(""https://docs.google.com/spreadsheets/d/11923uPwbBZFjjGgGUA6NLw09EwE0CqkOc4q9oUmW1yo/edit?usp=sharing"",""แพร่!J45"")"),7)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IFERROR(__xludf.DUMMYFUNCTION("IMPORTRANGE(""https://docs.google.com/spreadsheets/d/11923uPwbBZFjjGgGUA6NLw09EwE0CqkOc4q9oUmW1yo/edit?usp=sharing"",""แพร่!I46"")"),7)</f>
        <v>7</v>
      </c>
      <c r="J111" s="203">
        <f ca="1">IFERROR(__xludf.DUMMYFUNCTION("IMPORTRANGE(""https://docs.google.com/spreadsheets/d/11923uPwbBZFjjGgGUA6NLw09EwE0CqkOc4q9oUmW1yo/edit?usp=sharing"",""แพร่!J46"")"),7)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IFERROR(__xludf.DUMMYFUNCTION("IMPORTRANGE(""https://docs.google.com/spreadsheets/d/11923uPwbBZFjjGgGUA6NLw09EwE0CqkOc4q9oUmW1yo/edit?usp=sharing"",""แพร่!I47"")"),7)</f>
        <v>7</v>
      </c>
      <c r="J112" s="203">
        <f ca="1">IFERROR(__xludf.DUMMYFUNCTION("IMPORTRANGE(""https://docs.google.com/spreadsheets/d/11923uPwbBZFjjGgGUA6NLw09EwE0CqkOc4q9oUmW1yo/edit?usp=sharing"",""แพร่!J47"")"),7)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IFERROR(__xludf.DUMMYFUNCTION("IMPORTRANGE(""https://docs.google.com/spreadsheets/d/11923uPwbBZFjjGgGUA6NLw09EwE0CqkOc4q9oUmW1yo/edit?usp=sharing"",""แพร่!I48"")"),2)</f>
        <v>2</v>
      </c>
      <c r="J113" s="203">
        <f ca="1">IFERROR(__xludf.DUMMYFUNCTION("IMPORTRANGE(""https://docs.google.com/spreadsheets/d/11923uPwbBZFjjGgGUA6NLw09EwE0CqkOc4q9oUmW1yo/edit?usp=sharing"",""แพร่!J48"")"),2)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IFERROR(__xludf.DUMMYFUNCTION("IMPORTRANGE(""https://docs.google.com/spreadsheets/d/11923uPwbBZFjjGgGUA6NLw09EwE0CqkOc4q9oUmW1yo/edit?usp=sharing"",""แพร่!J49"")"),0)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IFERROR(__xludf.DUMMYFUNCTION("IMPORTRANGE(""https://docs.google.com/spreadsheets/d/11923uPwbBZFjjGgGUA6NLw09EwE0CqkOc4q9oUmW1yo/edit?usp=sharing"",""แพร่!J50"")"),0)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IFERROR(__xludf.DUMMYFUNCTION("IMPORTRANGE(""https://docs.google.com/spreadsheets/d/11923uPwbBZFjjGgGUA6NLw09EwE0CqkOc4q9oUmW1yo/edit?usp=sharing"",""แพร่!I52"")"),20)</f>
        <v>20</v>
      </c>
      <c r="J117" s="142">
        <f ca="1">IFERROR(__xludf.DUMMYFUNCTION("IMPORTRANGE(""https://docs.google.com/spreadsheets/d/11923uPwbBZFjjGgGUA6NLw09EwE0CqkOc4q9oUmW1yo/edit?usp=sharing"",""แพร่!J52"")"),20)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91762</v>
      </c>
      <c r="N118" s="152">
        <f t="shared" ca="1" si="58"/>
        <v>74120</v>
      </c>
      <c r="O118" s="151">
        <f t="shared" ref="O118:O120" ca="1" si="59">IF(L118&gt;0,N118*100/L118,0)</f>
        <v>89.907811741872877</v>
      </c>
      <c r="P118" s="151">
        <f t="shared" ref="P118:P120" ca="1" si="60">IF(M118&gt;0,N118*100/M118,0)</f>
        <v>80.774176674440398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91762</v>
      </c>
      <c r="N120" s="88">
        <f t="shared" ca="1" si="62"/>
        <v>74120</v>
      </c>
      <c r="O120" s="156">
        <f t="shared" ca="1" si="59"/>
        <v>89.907811741872877</v>
      </c>
      <c r="P120" s="156">
        <f t="shared" ca="1" si="60"/>
        <v>80.774176674440398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IFERROR(__xludf.DUMMYFUNCTION("IMPORTRANGE(""https://docs.google.com/spreadsheets/d/1Yj_ptqi66GCucihVvJfMjLAmec39IyEx_6qawtMGysU/edit?usp=sharing"",""สบก!BA30"")"),91762)</f>
        <v>91762</v>
      </c>
      <c r="N122" s="168">
        <f ca="1">IFERROR(__xludf.DUMMYFUNCTION("IMPORTRANGE(""https://docs.google.com/spreadsheets/d/1Yj_ptqi66GCucihVvJfMjLAmec39IyEx_6qawtMGysU/edit?usp=sharing"",""สบก!BB30"")"),74120)</f>
        <v>74120</v>
      </c>
      <c r="O122" s="168">
        <f ca="1">IF(L122&gt;0,N122*100/L122,0)</f>
        <v>89.907811741872877</v>
      </c>
      <c r="P122" s="168">
        <f ca="1">IF(M122&gt;0,N122*100/M122,0)</f>
        <v>80.774176674440398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IFERROR(__xludf.DUMMYFUNCTION("IMPORTRANGE(""https://docs.google.com/spreadsheets/d/1Yj_ptqi66GCucihVvJfMjLAmec39IyEx_6qawtMGysU/edit?usp=sharing"",""สบก!AW30"")"),0)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IFERROR(__xludf.DUMMYFUNCTION("IMPORTRANGE(""https://docs.google.com/spreadsheets/d/1Yj_ptqi66GCucihVvJfMjLAmec39IyEx_6qawtMGysU/edit?usp=sharing"",""สบก!AX30"")"),82440)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IFERROR(__xludf.DUMMYFUNCTION("IMPORTRANGE(""https://docs.google.com/spreadsheets/d/1Yj_ptqi66GCucihVvJfMjLAmec39IyEx_6qawtMGysU/edit?usp=sharing"",""สบก!AY30"")"),0)</f>
        <v>0</v>
      </c>
      <c r="M126" s="50"/>
      <c r="N126" s="50">
        <f ca="1">IFERROR(__xludf.DUMMYFUNCTION("IMPORTRANGE(""https://docs.google.com/spreadsheets/d/1Yj_ptqi66GCucihVvJfMjLAmec39IyEx_6qawtMGysU/edit?usp=sharing"",""สบก!BC30"")"),0)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IFERROR(__xludf.DUMMYFUNCTION("IMPORTRANGE(""https://docs.google.com/spreadsheets/d/11923uPwbBZFjjGgGUA6NLw09EwE0CqkOc4q9oUmW1yo/edit?usp=sharing"",""แพร่!J58"")"),0)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IFERROR(__xludf.DUMMYFUNCTION("IMPORTRANGE(""https://docs.google.com/spreadsheets/d/11923uPwbBZFjjGgGUA6NLw09EwE0CqkOc4q9oUmW1yo/edit?usp=sharing"",""แพร่!J59"")"),1)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IFERROR(__xludf.DUMMYFUNCTION("IMPORTRANGE(""https://docs.google.com/spreadsheets/d/11923uPwbBZFjjGgGUA6NLw09EwE0CqkOc4q9oUmW1yo/edit?usp=sharing"",""แพร่!J60"")"),1)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IFERROR(__xludf.DUMMYFUNCTION("IMPORTRANGE(""https://docs.google.com/spreadsheets/d/11923uPwbBZFjjGgGUA6NLw09EwE0CqkOc4q9oUmW1yo/edit?usp=sharing"",""แพร่!J61"")"),1)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IFERROR(__xludf.DUMMYFUNCTION("IMPORTRANGE(""https://docs.google.com/spreadsheets/d/11923uPwbBZFjjGgGUA6NLw09EwE0CqkOc4q9oUmW1yo/edit?usp=sharing"",""แพร่!I62"")"),20)</f>
        <v>20</v>
      </c>
      <c r="J132" s="203">
        <f ca="1">IFERROR(__xludf.DUMMYFUNCTION("IMPORTRANGE(""https://docs.google.com/spreadsheets/d/11923uPwbBZFjjGgGUA6NLw09EwE0CqkOc4q9oUmW1yo/edit?usp=sharing"",""แพร่!J62"")"),20)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IFERROR(__xludf.DUMMYFUNCTION("IMPORTRANGE(""https://docs.google.com/spreadsheets/d/11923uPwbBZFjjGgGUA6NLw09EwE0CqkOc4q9oUmW1yo/edit?usp=sharing"",""แพร่!I63"")"),20)</f>
        <v>20</v>
      </c>
      <c r="J133" s="203">
        <f ca="1">IFERROR(__xludf.DUMMYFUNCTION("IMPORTRANGE(""https://docs.google.com/spreadsheets/d/11923uPwbBZFjjGgGUA6NLw09EwE0CqkOc4q9oUmW1yo/edit?usp=sharing"",""แพร่!J63"")"),30)</f>
        <v>30</v>
      </c>
      <c r="K133" s="224">
        <f t="shared" ca="1" si="63"/>
        <v>150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IFERROR(__xludf.DUMMYFUNCTION("IMPORTRANGE(""https://docs.google.com/spreadsheets/d/11923uPwbBZFjjGgGUA6NLw09EwE0CqkOc4q9oUmW1yo/edit?usp=sharing"",""แพร่!J64"")"),0)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IFERROR(__xludf.DUMMYFUNCTION("IMPORTRANGE(""https://docs.google.com/spreadsheets/d/11923uPwbBZFjjGgGUA6NLw09EwE0CqkOc4q9oUmW1yo/edit?usp=sharing"",""แพร่!J65"")"),0)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IFERROR(__xludf.DUMMYFUNCTION("IMPORTRANGE(""https://docs.google.com/spreadsheets/d/11923uPwbBZFjjGgGUA6NLw09EwE0CqkOc4q9oUmW1yo/edit?usp=sharing"",""แพร่!I68"")"),0)</f>
        <v>0</v>
      </c>
      <c r="J138" s="267">
        <f ca="1">IFERROR(__xludf.DUMMYFUNCTION("IMPORTRANGE(""https://docs.google.com/spreadsheets/d/11923uPwbBZFjjGgGUA6NLw09EwE0CqkOc4q9oUmW1yo/edit?usp=sharing"",""แพร่!J68"")"),0)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123100</v>
      </c>
      <c r="N140" s="152">
        <f t="shared" ca="1" si="64"/>
        <v>105010</v>
      </c>
      <c r="O140" s="151">
        <f t="shared" ref="O140:O142" ca="1" si="65">IF(L140&gt;0,N140*100/L140,0)</f>
        <v>152.18840579710144</v>
      </c>
      <c r="P140" s="151">
        <f t="shared" ref="P140:P142" ca="1" si="66">IF(M140&gt;0,N140*100/M140,0)</f>
        <v>85.304630381803406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123100</v>
      </c>
      <c r="N142" s="88">
        <f t="shared" ca="1" si="68"/>
        <v>105010</v>
      </c>
      <c r="O142" s="156">
        <f t="shared" ca="1" si="65"/>
        <v>152.18840579710144</v>
      </c>
      <c r="P142" s="156">
        <f t="shared" ca="1" si="66"/>
        <v>85.304630381803406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IFERROR(__xludf.DUMMYFUNCTION("IMPORTRANGE(""https://docs.google.com/spreadsheets/d/1Yj_ptqi66GCucihVvJfMjLAmec39IyEx_6qawtMGysU/edit?usp=sharing"",""สบก!BJ30"")"),123100)</f>
        <v>123100</v>
      </c>
      <c r="N144" s="168">
        <f ca="1">IFERROR(__xludf.DUMMYFUNCTION("IMPORTRANGE(""https://docs.google.com/spreadsheets/d/1Yj_ptqi66GCucihVvJfMjLAmec39IyEx_6qawtMGysU/edit?usp=sharing"",""สบก!BK30"")"),105010)</f>
        <v>105010</v>
      </c>
      <c r="O144" s="168">
        <f ca="1">IF(L144&gt;0,N144*100/L144,0)</f>
        <v>152.18840579710144</v>
      </c>
      <c r="P144" s="168">
        <f ca="1">IF(M144&gt;0,N144*100/M144,0)</f>
        <v>85.304630381803406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IFERROR(__xludf.DUMMYFUNCTION("IMPORTRANGE(""https://docs.google.com/spreadsheets/d/1Yj_ptqi66GCucihVvJfMjLAmec39IyEx_6qawtMGysU/edit?usp=sharing"",""สบก!BF30"")"),0)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IFERROR(__xludf.DUMMYFUNCTION("IMPORTRANGE(""https://docs.google.com/spreadsheets/d/1Yj_ptqi66GCucihVvJfMjLAmec39IyEx_6qawtMGysU/edit?usp=sharing"",""สบก!BG30"")"),69000)</f>
        <v>69000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IFERROR(__xludf.DUMMYFUNCTION("IMPORTRANGE(""https://docs.google.com/spreadsheets/d/1Yj_ptqi66GCucihVvJfMjLAmec39IyEx_6qawtMGysU/edit?usp=sharing"",""สบก!BH30"")"),0)</f>
        <v>0</v>
      </c>
      <c r="M148" s="50"/>
      <c r="N148" s="50">
        <f ca="1">IFERROR(__xludf.DUMMYFUNCTION("IMPORTRANGE(""https://docs.google.com/spreadsheets/d/1Yj_ptqi66GCucihVvJfMjLAmec39IyEx_6qawtMGysU/edit?usp=sharing"",""สบก!BL30"")"),0)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IFERROR(__xludf.DUMMYFUNCTION("IMPORTRANGE(""https://docs.google.com/spreadsheets/d/11923uPwbBZFjjGgGUA6NLw09EwE0CqkOc4q9oUmW1yo/edit?usp=sharing"",""แพร่!I74"")"),4)</f>
        <v>4</v>
      </c>
      <c r="J149" s="275">
        <f ca="1">IFERROR(__xludf.DUMMYFUNCTION("IMPORTRANGE(""https://docs.google.com/spreadsheets/d/11923uPwbBZFjjGgGUA6NLw09EwE0CqkOc4q9oUmW1yo/edit?usp=sharing"",""แพร่!J74"")"),2)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IFERROR(__xludf.DUMMYFUNCTION("IMPORTRANGE(""https://docs.google.com/spreadsheets/d/11923uPwbBZFjjGgGUA6NLw09EwE0CqkOc4q9oUmW1yo/edit?usp=sharing"",""แพร่!J79"")"),0)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IFERROR(__xludf.DUMMYFUNCTION("IMPORTRANGE(""https://docs.google.com/spreadsheets/d/11923uPwbBZFjjGgGUA6NLw09EwE0CqkOc4q9oUmW1yo/edit?usp=sharing"",""แพร่!J80"")"),1)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IFERROR(__xludf.DUMMYFUNCTION("IMPORTRANGE(""https://docs.google.com/spreadsheets/d/11923uPwbBZFjjGgGUA6NLw09EwE0CqkOc4q9oUmW1yo/edit?usp=sharing"",""แพร่!J81"")"),1)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IFERROR(__xludf.DUMMYFUNCTION("IMPORTRANGE(""https://docs.google.com/spreadsheets/d/11923uPwbBZFjjGgGUA6NLw09EwE0CqkOc4q9oUmW1yo/edit?usp=sharing"",""แพร่!J82"")"),1)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IFERROR(__xludf.DUMMYFUNCTION("IMPORTRANGE(""https://docs.google.com/spreadsheets/d/11923uPwbBZFjjGgGUA6NLw09EwE0CqkOc4q9oUmW1yo/edit?usp=sharing"",""แพร่!I83"")"),4)</f>
        <v>4</v>
      </c>
      <c r="J158" s="188">
        <f ca="1">IFERROR(__xludf.DUMMYFUNCTION("IMPORTRANGE(""https://docs.google.com/spreadsheets/d/11923uPwbBZFjjGgGUA6NLw09EwE0CqkOc4q9oUmW1yo/edit?usp=sharing"",""แพร่!J83"")"),2)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IFERROR(__xludf.DUMMYFUNCTION("IMPORTRANGE(""https://docs.google.com/spreadsheets/d/11923uPwbBZFjjGgGUA6NLw09EwE0CqkOc4q9oUmW1yo/edit?usp=sharing"",""แพร่!J84"")"),103)</f>
        <v>103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IFERROR(__xludf.DUMMYFUNCTION("IMPORTRANGE(""https://docs.google.com/spreadsheets/d/11923uPwbBZFjjGgGUA6NLw09EwE0CqkOc4q9oUmW1yo/edit?usp=sharing"",""แพร่!J85"")"),103)</f>
        <v>103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IFERROR(__xludf.DUMMYFUNCTION("IMPORTRANGE(""https://docs.google.com/spreadsheets/d/11923uPwbBZFjjGgGUA6NLw09EwE0CqkOc4q9oUmW1yo/edit?usp=sharing"",""แพร่!J86"")"),0)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IFERROR(__xludf.DUMMYFUNCTION("IMPORTRANGE(""https://docs.google.com/spreadsheets/d/11923uPwbBZFjjGgGUA6NLw09EwE0CqkOc4q9oUmW1yo/edit?usp=sharing"",""แพร่!J87"")"),0)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IFERROR(__xludf.DUMMYFUNCTION("IMPORTRANGE(""https://docs.google.com/spreadsheets/d/11923uPwbBZFjjGgGUA6NLw09EwE0CqkOc4q9oUmW1yo/edit?usp=sharing"",""แพร่!J88"")"),0)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IFERROR(__xludf.DUMMYFUNCTION("IMPORTRANGE(""https://docs.google.com/spreadsheets/d/11923uPwbBZFjjGgGUA6NLw09EwE0CqkOc4q9oUmW1yo/edit?usp=sharing"",""แพร่!I89"")"),3)</f>
        <v>3</v>
      </c>
      <c r="J164" s="284">
        <f ca="1">IFERROR(__xludf.DUMMYFUNCTION("IMPORTRANGE(""https://docs.google.com/spreadsheets/d/11923uPwbBZFjjGgGUA6NLw09EwE0CqkOc4q9oUmW1yo/edit?usp=sharing"",""แพร่!J89"")"),3)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IFERROR(__xludf.DUMMYFUNCTION("IMPORTRANGE(""https://docs.google.com/spreadsheets/d/11923uPwbBZFjjGgGUA6NLw09EwE0CqkOc4q9oUmW1yo/edit?usp=sharing"",""แพร่!J94"")"),0)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IFERROR(__xludf.DUMMYFUNCTION("IMPORTRANGE(""https://docs.google.com/spreadsheets/d/11923uPwbBZFjjGgGUA6NLw09EwE0CqkOc4q9oUmW1yo/edit?usp=sharing"",""แพร่!J95"")"),1)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IFERROR(__xludf.DUMMYFUNCTION("IMPORTRANGE(""https://docs.google.com/spreadsheets/d/11923uPwbBZFjjGgGUA6NLw09EwE0CqkOc4q9oUmW1yo/edit?usp=sharing"",""แพร่!J96"")"),1)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IFERROR(__xludf.DUMMYFUNCTION("IMPORTRANGE(""https://docs.google.com/spreadsheets/d/11923uPwbBZFjjGgGUA6NLw09EwE0CqkOc4q9oUmW1yo/edit?usp=sharing"",""แพร่!J97"")"),1)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IFERROR(__xludf.DUMMYFUNCTION("IMPORTRANGE(""https://docs.google.com/spreadsheets/d/11923uPwbBZFjjGgGUA6NLw09EwE0CqkOc4q9oUmW1yo/edit?usp=sharing"",""แพร่!I98"")"),3)</f>
        <v>3</v>
      </c>
      <c r="J173" s="188">
        <f ca="1">IFERROR(__xludf.DUMMYFUNCTION("IMPORTRANGE(""https://docs.google.com/spreadsheets/d/11923uPwbBZFjjGgGUA6NLw09EwE0CqkOc4q9oUmW1yo/edit?usp=sharing"",""แพร่!J98"")"),3)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IFERROR(__xludf.DUMMYFUNCTION("IMPORTRANGE(""https://docs.google.com/spreadsheets/d/11923uPwbBZFjjGgGUA6NLw09EwE0CqkOc4q9oUmW1yo/edit?usp=sharing"",""แพร่!J99"")"),0)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IFERROR(__xludf.DUMMYFUNCTION("IMPORTRANGE(""https://docs.google.com/spreadsheets/d/11923uPwbBZFjjGgGUA6NLw09EwE0CqkOc4q9oUmW1yo/edit?usp=sharing"",""แพร่!J100"")"),0)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IFERROR(__xludf.DUMMYFUNCTION("IMPORTRANGE(""https://docs.google.com/spreadsheets/d/11923uPwbBZFjjGgGUA6NLw09EwE0CqkOc4q9oUmW1yo/edit?usp=sharing"",""แพร่!I101"")"),0)</f>
        <v>0</v>
      </c>
      <c r="J176" s="284">
        <f ca="1">IFERROR(__xludf.DUMMYFUNCTION("IMPORTRANGE(""https://docs.google.com/spreadsheets/d/11923uPwbBZFjjGgGUA6NLw09EwE0CqkOc4q9oUmW1yo/edit?usp=sharing"",""แพร่!J101"")"),0)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IFERROR(__xludf.DUMMYFUNCTION("IMPORTRANGE(""https://docs.google.com/spreadsheets/d/11923uPwbBZFjjGgGUA6NLw09EwE0CqkOc4q9oUmW1yo/edit?usp=sharing"",""แพร่!J106"")"),0)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IFERROR(__xludf.DUMMYFUNCTION("IMPORTRANGE(""https://docs.google.com/spreadsheets/d/11923uPwbBZFjjGgGUA6NLw09EwE0CqkOc4q9oUmW1yo/edit?usp=sharing"",""แพร่!J107"")"),0)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IFERROR(__xludf.DUMMYFUNCTION("IMPORTRANGE(""https://docs.google.com/spreadsheets/d/11923uPwbBZFjjGgGUA6NLw09EwE0CqkOc4q9oUmW1yo/edit?usp=sharing"",""แพร่!J108"")"),0)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IFERROR(__xludf.DUMMYFUNCTION("IMPORTRANGE(""https://docs.google.com/spreadsheets/d/11923uPwbBZFjjGgGUA6NLw09EwE0CqkOc4q9oUmW1yo/edit?usp=sharing"",""แพร่!J109"")"),0)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IFERROR(__xludf.DUMMYFUNCTION("IMPORTRANGE(""https://docs.google.com/spreadsheets/d/11923uPwbBZFjjGgGUA6NLw09EwE0CqkOc4q9oUmW1yo/edit?usp=sharing"",""แพร่!I110"")"),0)</f>
        <v>0</v>
      </c>
      <c r="J185" s="203">
        <f ca="1">IFERROR(__xludf.DUMMYFUNCTION("IMPORTRANGE(""https://docs.google.com/spreadsheets/d/11923uPwbBZFjjGgGUA6NLw09EwE0CqkOc4q9oUmW1yo/edit?usp=sharing"",""แพร่!J110"")"),0)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IFERROR(__xludf.DUMMYFUNCTION("IMPORTRANGE(""https://docs.google.com/spreadsheets/d/11923uPwbBZFjjGgGUA6NLw09EwE0CqkOc4q9oUmW1yo/edit?usp=sharing"",""แพร่!I111"")"),0)</f>
        <v>0</v>
      </c>
      <c r="J186" s="203">
        <f ca="1">IFERROR(__xludf.DUMMYFUNCTION("IMPORTRANGE(""https://docs.google.com/spreadsheets/d/11923uPwbBZFjjGgGUA6NLw09EwE0CqkOc4q9oUmW1yo/edit?usp=sharing"",""แพร่!J111"")"),0)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IFERROR(__xludf.DUMMYFUNCTION("IMPORTRANGE(""https://docs.google.com/spreadsheets/d/11923uPwbBZFjjGgGUA6NLw09EwE0CqkOc4q9oUmW1yo/edit?usp=sharing"",""แพร่!J112"")"),0)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IFERROR(__xludf.DUMMYFUNCTION("IMPORTRANGE(""https://docs.google.com/spreadsheets/d/11923uPwbBZFjjGgGUA6NLw09EwE0CqkOc4q9oUmW1yo/edit?usp=sharing"",""แพร่!J113"")"),0)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IFERROR(__xludf.DUMMYFUNCTION("IMPORTRANGE(""https://docs.google.com/spreadsheets/d/11923uPwbBZFjjGgGUA6NLw09EwE0CqkOc4q9oUmW1yo/edit?usp=sharing"",""แพร่!I114"")"),50000)</f>
        <v>50000</v>
      </c>
      <c r="J189" s="284">
        <f ca="1">IFERROR(__xludf.DUMMYFUNCTION("IMPORTRANGE(""https://docs.google.com/spreadsheets/d/11923uPwbBZFjjGgGUA6NLw09EwE0CqkOc4q9oUmW1yo/edit?usp=sharing"",""แพร่!J114"")"),50000)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IFERROR(__xludf.DUMMYFUNCTION("IMPORTRANGE(""https://docs.google.com/spreadsheets/d/11923uPwbBZFjjGgGUA6NLw09EwE0CqkOc4q9oUmW1yo/edit?usp=sharing"",""แพร่!J119"")"),1)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IFERROR(__xludf.DUMMYFUNCTION("IMPORTRANGE(""https://docs.google.com/spreadsheets/d/11923uPwbBZFjjGgGUA6NLw09EwE0CqkOc4q9oUmW1yo/edit?usp=sharing"",""แพร่!J120"")"),0)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IFERROR(__xludf.DUMMYFUNCTION("IMPORTRANGE(""https://docs.google.com/spreadsheets/d/11923uPwbBZFjjGgGUA6NLw09EwE0CqkOc4q9oUmW1yo/edit?usp=sharing"",""แพร่!J121"")"),0)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IFERROR(__xludf.DUMMYFUNCTION("IMPORTRANGE(""https://docs.google.com/spreadsheets/d/11923uPwbBZFjjGgGUA6NLw09EwE0CqkOc4q9oUmW1yo/edit?usp=sharing"",""แพร่!J122"")"),0)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IFERROR(__xludf.DUMMYFUNCTION("IMPORTRANGE(""https://docs.google.com/spreadsheets/d/11923uPwbBZFjjGgGUA6NLw09EwE0CqkOc4q9oUmW1yo/edit?usp=sharing"",""แพร่!I124"")"),50000)</f>
        <v>50000</v>
      </c>
      <c r="J199" s="188">
        <f ca="1">IFERROR(__xludf.DUMMYFUNCTION("IMPORTRANGE(""https://docs.google.com/spreadsheets/d/11923uPwbBZFjjGgGUA6NLw09EwE0CqkOc4q9oUmW1yo/edit?usp=sharing"",""แพร่!J124"")"),50000)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IFERROR(__xludf.DUMMYFUNCTION("IMPORTRANGE(""https://docs.google.com/spreadsheets/d/11923uPwbBZFjjGgGUA6NLw09EwE0CqkOc4q9oUmW1yo/edit?usp=sharing"",""แพร่!I125"")"),50000)</f>
        <v>50000</v>
      </c>
      <c r="J200" s="188">
        <f ca="1">IFERROR(__xludf.DUMMYFUNCTION("IMPORTRANGE(""https://docs.google.com/spreadsheets/d/11923uPwbBZFjjGgGUA6NLw09EwE0CqkOc4q9oUmW1yo/edit?usp=sharing"",""แพร่!J125"")"),50000)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IFERROR(__xludf.DUMMYFUNCTION("IMPORTRANGE(""https://docs.google.com/spreadsheets/d/11923uPwbBZFjjGgGUA6NLw09EwE0CqkOc4q9oUmW1yo/edit?usp=sharing"",""แพร่!I126"")"),0)</f>
        <v>0</v>
      </c>
      <c r="J201" s="188">
        <f ca="1">IFERROR(__xludf.DUMMYFUNCTION("IMPORTRANGE(""https://docs.google.com/spreadsheets/d/11923uPwbBZFjjGgGUA6NLw09EwE0CqkOc4q9oUmW1yo/edit?usp=sharing"",""แพร่!J126"")"),0)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IFERROR(__xludf.DUMMYFUNCTION("IMPORTRANGE(""https://docs.google.com/spreadsheets/d/11923uPwbBZFjjGgGUA6NLw09EwE0CqkOc4q9oUmW1yo/edit?usp=sharing"",""แพร่!J127"")"),0)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IFERROR(__xludf.DUMMYFUNCTION("IMPORTRANGE(""https://docs.google.com/spreadsheets/d/11923uPwbBZFjjGgGUA6NLw09EwE0CqkOc4q9oUmW1yo/edit?usp=sharing"",""แพร่!J128"")"),0)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IFERROR(__xludf.DUMMYFUNCTION("IMPORTRANGE(""https://docs.google.com/spreadsheets/d/11923uPwbBZFjjGgGUA6NLw09EwE0CqkOc4q9oUmW1yo/edit?usp=sharing"",""แพร่!I129"")"),0)</f>
        <v>0</v>
      </c>
      <c r="J204" s="284">
        <f ca="1">IFERROR(__xludf.DUMMYFUNCTION("IMPORTRANGE(""https://docs.google.com/spreadsheets/d/11923uPwbBZFjjGgGUA6NLw09EwE0CqkOc4q9oUmW1yo/edit?usp=sharing"",""แพร่!J129"")"),0)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IFERROR(__xludf.DUMMYFUNCTION("IMPORTRANGE(""https://docs.google.com/spreadsheets/d/11923uPwbBZFjjGgGUA6NLw09EwE0CqkOc4q9oUmW1yo/edit?usp=sharing"",""แพร่!J134"")"),0)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IFERROR(__xludf.DUMMYFUNCTION("IMPORTRANGE(""https://docs.google.com/spreadsheets/d/11923uPwbBZFjjGgGUA6NLw09EwE0CqkOc4q9oUmW1yo/edit?usp=sharing"",""แพร่!J135"")"),0)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IFERROR(__xludf.DUMMYFUNCTION("IMPORTRANGE(""https://docs.google.com/spreadsheets/d/11923uPwbBZFjjGgGUA6NLw09EwE0CqkOc4q9oUmW1yo/edit?usp=sharing"",""แพร่!J136"")"),0)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IFERROR(__xludf.DUMMYFUNCTION("IMPORTRANGE(""https://docs.google.com/spreadsheets/d/11923uPwbBZFjjGgGUA6NLw09EwE0CqkOc4q9oUmW1yo/edit?usp=sharing"",""แพร่!J137"")"),0)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IFERROR(__xludf.DUMMYFUNCTION("IMPORTRANGE(""https://docs.google.com/spreadsheets/d/11923uPwbBZFjjGgGUA6NLw09EwE0CqkOc4q9oUmW1yo/edit?usp=sharing"",""แพร่!I138"")"),0)</f>
        <v>0</v>
      </c>
      <c r="J213" s="203">
        <f ca="1">IFERROR(__xludf.DUMMYFUNCTION("IMPORTRANGE(""https://docs.google.com/spreadsheets/d/11923uPwbBZFjjGgGUA6NLw09EwE0CqkOc4q9oUmW1yo/edit?usp=sharing"",""แพร่!J138"")"),0)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IFERROR(__xludf.DUMMYFUNCTION("IMPORTRANGE(""https://docs.google.com/spreadsheets/d/11923uPwbBZFjjGgGUA6NLw09EwE0CqkOc4q9oUmW1yo/edit?usp=sharing"",""แพร่!I140"")"),0)</f>
        <v>0</v>
      </c>
      <c r="J215" s="203">
        <f ca="1">IFERROR(__xludf.DUMMYFUNCTION("IMPORTRANGE(""https://docs.google.com/spreadsheets/d/11923uPwbBZFjjGgGUA6NLw09EwE0CqkOc4q9oUmW1yo/edit?usp=sharing"",""แพร่!J140"")"),0)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IFERROR(__xludf.DUMMYFUNCTION("IMPORTRANGE(""https://docs.google.com/spreadsheets/d/11923uPwbBZFjjGgGUA6NLw09EwE0CqkOc4q9oUmW1yo/edit?usp=sharing"",""แพร่!I141"")"),0)</f>
        <v>0</v>
      </c>
      <c r="J216" s="203">
        <f ca="1">IFERROR(__xludf.DUMMYFUNCTION("IMPORTRANGE(""https://docs.google.com/spreadsheets/d/11923uPwbBZFjjGgGUA6NLw09EwE0CqkOc4q9oUmW1yo/edit?usp=sharing"",""แพร่!J141"")"),0)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IFERROR(__xludf.DUMMYFUNCTION("IMPORTRANGE(""https://docs.google.com/spreadsheets/d/11923uPwbBZFjjGgGUA6NLw09EwE0CqkOc4q9oUmW1yo/edit?usp=sharing"",""แพร่!J142"")"),0)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IFERROR(__xludf.DUMMYFUNCTION("IMPORTRANGE(""https://docs.google.com/spreadsheets/d/11923uPwbBZFjjGgGUA6NLw09EwE0CqkOc4q9oUmW1yo/edit?usp=sharing"",""แพร่!J143"")"),0)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IFERROR(__xludf.DUMMYFUNCTION("IMPORTRANGE(""https://docs.google.com/spreadsheets/d/11923uPwbBZFjjGgGUA6NLw09EwE0CqkOc4q9oUmW1yo/edit?usp=sharing"",""แพร่!I144"")"),15)</f>
        <v>15</v>
      </c>
      <c r="J219" s="267">
        <f ca="1">IFERROR(__xludf.DUMMYFUNCTION("IMPORTRANGE(""https://docs.google.com/spreadsheets/d/11923uPwbBZFjjGgGUA6NLw09EwE0CqkOc4q9oUmW1yo/edit?usp=sharing"",""แพร่!J144"")"),15)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IFERROR(__xludf.DUMMYFUNCTION("IMPORTRANGE(""https://docs.google.com/spreadsheets/d/1Yj_ptqi66GCucihVvJfMjLAmec39IyEx_6qawtMGysU/edit?usp=sharing"",""สบก!BS30"")"),21125)</f>
        <v>21125</v>
      </c>
      <c r="N224" s="168">
        <f ca="1">IFERROR(__xludf.DUMMYFUNCTION("IMPORTRANGE(""https://docs.google.com/spreadsheets/d/1Yj_ptqi66GCucihVvJfMjLAmec39IyEx_6qawtMGysU/edit?usp=sharing"",""สบก!BT30"")"),21125)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IFERROR(__xludf.DUMMYFUNCTION("IMPORTRANGE(""https://docs.google.com/spreadsheets/d/1Yj_ptqi66GCucihVvJfMjLAmec39IyEx_6qawtMGysU/edit?usp=sharing"",""สบก!BO30"")"),0)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IFERROR(__xludf.DUMMYFUNCTION("IMPORTRANGE(""https://docs.google.com/spreadsheets/d/1Yj_ptqi66GCucihVvJfMjLAmec39IyEx_6qawtMGysU/edit?usp=sharing"",""สบก!BP30"")"),21125)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IFERROR(__xludf.DUMMYFUNCTION("IMPORTRANGE(""https://docs.google.com/spreadsheets/d/1Yj_ptqi66GCucihVvJfMjLAmec39IyEx_6qawtMGysU/edit?usp=sharing"",""สบก!BQ30"")"),0)</f>
        <v>0</v>
      </c>
      <c r="M228" s="50"/>
      <c r="N228" s="50">
        <f ca="1">IFERROR(__xludf.DUMMYFUNCTION("IMPORTRANGE(""https://docs.google.com/spreadsheets/d/1Yj_ptqi66GCucihVvJfMjLAmec39IyEx_6qawtMGysU/edit?usp=sharing"",""สบก!BU30"")"),0)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IFERROR(__xludf.DUMMYFUNCTION("IMPORTRANGE(""https://docs.google.com/spreadsheets/d/11923uPwbBZFjjGgGUA6NLw09EwE0CqkOc4q9oUmW1yo/edit?usp=sharing"",""แพร่!I149"")"),15)</f>
        <v>15</v>
      </c>
      <c r="J229" s="267">
        <f ca="1">IFERROR(__xludf.DUMMYFUNCTION("IMPORTRANGE(""https://docs.google.com/spreadsheets/d/11923uPwbBZFjjGgGUA6NLw09EwE0CqkOc4q9oUmW1yo/edit?usp=sharing"",""แพร่!J149"")"),15)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IFERROR(__xludf.DUMMYFUNCTION("IMPORTRANGE(""https://docs.google.com/spreadsheets/d/11923uPwbBZFjjGgGUA6NLw09EwE0CqkOc4q9oUmW1yo/edit?usp=sharing"",""แพร่!J151"")"),0)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IFERROR(__xludf.DUMMYFUNCTION("IMPORTRANGE(""https://docs.google.com/spreadsheets/d/11923uPwbBZFjjGgGUA6NLw09EwE0CqkOc4q9oUmW1yo/edit?usp=sharing"",""แพร่!J152"")"),1)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IFERROR(__xludf.DUMMYFUNCTION("IMPORTRANGE(""https://docs.google.com/spreadsheets/d/11923uPwbBZFjjGgGUA6NLw09EwE0CqkOc4q9oUmW1yo/edit?usp=sharing"",""แพร่!J153"")"),1)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IFERROR(__xludf.DUMMYFUNCTION("IMPORTRANGE(""https://docs.google.com/spreadsheets/d/11923uPwbBZFjjGgGUA6NLw09EwE0CqkOc4q9oUmW1yo/edit?usp=sharing"",""แพร่!J154"")"),1)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IFERROR(__xludf.DUMMYFUNCTION("IMPORTRANGE(""https://docs.google.com/spreadsheets/d/11923uPwbBZFjjGgGUA6NLw09EwE0CqkOc4q9oUmW1yo/edit?usp=sharing"",""แพร่!I155"")"),15)</f>
        <v>15</v>
      </c>
      <c r="J235" s="188">
        <f ca="1">IFERROR(__xludf.DUMMYFUNCTION("IMPORTRANGE(""https://docs.google.com/spreadsheets/d/11923uPwbBZFjjGgGUA6NLw09EwE0CqkOc4q9oUmW1yo/edit?usp=sharing"",""แพร่!J155"")"),15)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IFERROR(__xludf.DUMMYFUNCTION("IMPORTRANGE(""https://docs.google.com/spreadsheets/d/11923uPwbBZFjjGgGUA6NLw09EwE0CqkOc4q9oUmW1yo/edit?usp=sharing"",""แพร่!J156"")"),0)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IFERROR(__xludf.DUMMYFUNCTION("IMPORTRANGE(""https://docs.google.com/spreadsheets/d/11923uPwbBZFjjGgGUA6NLw09EwE0CqkOc4q9oUmW1yo/edit?usp=sharing"",""แพร่!J157"")"),0)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IFERROR(__xludf.DUMMYFUNCTION("IMPORTRANGE(""https://docs.google.com/spreadsheets/d/11923uPwbBZFjjGgGUA6NLw09EwE0CqkOc4q9oUmW1yo/edit?usp=sharing"",""แพร่!I158"")"),0)</f>
        <v>0</v>
      </c>
      <c r="J238" s="267">
        <f ca="1">IFERROR(__xludf.DUMMYFUNCTION("IMPORTRANGE(""https://docs.google.com/spreadsheets/d/11923uPwbBZFjjGgGUA6NLw09EwE0CqkOc4q9oUmW1yo/edit?usp=sharing"",""แพร่!J158"")"),0)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IFERROR(__xludf.DUMMYFUNCTION("IMPORTRANGE(""https://docs.google.com/spreadsheets/d/11923uPwbBZFjjGgGUA6NLw09EwE0CqkOc4q9oUmW1yo/edit?usp=sharing"",""แพร่!J159"")"),"")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IFERROR(__xludf.DUMMYFUNCTION("IMPORTRANGE(""https://docs.google.com/spreadsheets/d/11923uPwbBZFjjGgGUA6NLw09EwE0CqkOc4q9oUmW1yo/edit?usp=sharing"",""แพร่!J161"")"),0)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IFERROR(__xludf.DUMMYFUNCTION("IMPORTRANGE(""https://docs.google.com/spreadsheets/d/11923uPwbBZFjjGgGUA6NLw09EwE0CqkOc4q9oUmW1yo/edit?usp=sharing"",""แพร่!J162"")"),0)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IFERROR(__xludf.DUMMYFUNCTION("IMPORTRANGE(""https://docs.google.com/spreadsheets/d/11923uPwbBZFjjGgGUA6NLw09EwE0CqkOc4q9oUmW1yo/edit?usp=sharing"",""แพร่!J163"")"),0)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IFERROR(__xludf.DUMMYFUNCTION("IMPORTRANGE(""https://docs.google.com/spreadsheets/d/11923uPwbBZFjjGgGUA6NLw09EwE0CqkOc4q9oUmW1yo/edit?usp=sharing"",""แพร่!I164"")"),0)</f>
        <v>0</v>
      </c>
      <c r="J244" s="187">
        <f ca="1">IFERROR(__xludf.DUMMYFUNCTION("IMPORTRANGE(""https://docs.google.com/spreadsheets/d/11923uPwbBZFjjGgGUA6NLw09EwE0CqkOc4q9oUmW1yo/edit?usp=sharing"",""แพร่!J164"")"),0)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IFERROR(__xludf.DUMMYFUNCTION("IMPORTRANGE(""https://docs.google.com/spreadsheets/d/11923uPwbBZFjjGgGUA6NLw09EwE0CqkOc4q9oUmW1yo/edit?usp=sharing"",""แพร่!J165"")"),0)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IFERROR(__xludf.DUMMYFUNCTION("IMPORTRANGE(""https://docs.google.com/spreadsheets/d/11923uPwbBZFjjGgGUA6NLw09EwE0CqkOc4q9oUmW1yo/edit?usp=sharing"",""แพร่!J166"")"),0)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IFERROR(__xludf.DUMMYFUNCTION("IMPORTRANGE(""https://docs.google.com/spreadsheets/d/11923uPwbBZFjjGgGUA6NLw09EwE0CqkOc4q9oUmW1yo/edit?usp=sharing"",""แพร่!I169"")"),30)</f>
        <v>30</v>
      </c>
      <c r="J249" s="316">
        <f ca="1">IFERROR(__xludf.DUMMYFUNCTION("IMPORTRANGE(""https://docs.google.com/spreadsheets/d/11923uPwbBZFjjGgGUA6NLw09EwE0CqkOc4q9oUmW1yo/edit?usp=sharing"",""แพร่!J169"")"),30)</f>
        <v>30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217000</v>
      </c>
      <c r="M250" s="152">
        <f t="shared" ca="1" si="77"/>
        <v>217000</v>
      </c>
      <c r="N250" s="152">
        <f t="shared" ca="1" si="77"/>
        <v>192298</v>
      </c>
      <c r="O250" s="151">
        <f t="shared" ref="O250:O252" ca="1" si="78">IF(L250&gt;0,N250*100/L250,0)</f>
        <v>88.616589861751152</v>
      </c>
      <c r="P250" s="151">
        <f t="shared" ref="P250:P252" ca="1" si="79">IF(M250&gt;0,N250*100/M250,0)</f>
        <v>88.616589861751152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217000</v>
      </c>
      <c r="M252" s="88">
        <f t="shared" ca="1" si="81"/>
        <v>217000</v>
      </c>
      <c r="N252" s="88">
        <f t="shared" ca="1" si="81"/>
        <v>192298</v>
      </c>
      <c r="O252" s="156">
        <f t="shared" ca="1" si="78"/>
        <v>88.616589861751152</v>
      </c>
      <c r="P252" s="156">
        <f t="shared" ca="1" si="79"/>
        <v>88.616589861751152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217000</v>
      </c>
      <c r="M254" s="167">
        <f ca="1">IFERROR(__xludf.DUMMYFUNCTION("IMPORTRANGE(""https://docs.google.com/spreadsheets/d/1Yj_ptqi66GCucihVvJfMjLAmec39IyEx_6qawtMGysU/edit?usp=sharing"",""สบก!CB30"")"),217000)</f>
        <v>217000</v>
      </c>
      <c r="N254" s="168">
        <f ca="1">IFERROR(__xludf.DUMMYFUNCTION("IMPORTRANGE(""https://docs.google.com/spreadsheets/d/1Yj_ptqi66GCucihVvJfMjLAmec39IyEx_6qawtMGysU/edit?usp=sharing"",""สบก!CC30"")"),192298)</f>
        <v>192298</v>
      </c>
      <c r="O254" s="168">
        <f ca="1">IF(L254&gt;0,N254*100/L254,0)</f>
        <v>88.616589861751152</v>
      </c>
      <c r="P254" s="168">
        <f ca="1">IF(M254&gt;0,N254*100/M254,0)</f>
        <v>88.616589861751152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IFERROR(__xludf.DUMMYFUNCTION("IMPORTRANGE(""https://docs.google.com/spreadsheets/d/1Yj_ptqi66GCucihVvJfMjLAmec39IyEx_6qawtMGysU/edit?usp=sharing"",""สบก!BX30"")"),0)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IFERROR(__xludf.DUMMYFUNCTION("IMPORTRANGE(""https://docs.google.com/spreadsheets/d/1Yj_ptqi66GCucihVvJfMjLAmec39IyEx_6qawtMGysU/edit?usp=sharing"",""สบก!BY30"")"),217000)</f>
        <v>217000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IFERROR(__xludf.DUMMYFUNCTION("IMPORTRANGE(""https://docs.google.com/spreadsheets/d/1Yj_ptqi66GCucihVvJfMjLAmec39IyEx_6qawtMGysU/edit?usp=sharing"",""สบก!BZ30"")"),0)</f>
        <v>0</v>
      </c>
      <c r="M258" s="50"/>
      <c r="N258" s="50">
        <f ca="1">IFERROR(__xludf.DUMMYFUNCTION("IMPORTRANGE(""https://docs.google.com/spreadsheets/d/1Yj_ptqi66GCucihVvJfMjLAmec39IyEx_6qawtMGysU/edit?usp=sharing"",""สบก!CD30"")"),0)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IFERROR(__xludf.DUMMYFUNCTION("IMPORTRANGE(""https://docs.google.com/spreadsheets/d/11923uPwbBZFjjGgGUA6NLw09EwE0CqkOc4q9oUmW1yo/edit?usp=sharing"",""แพร่!J175"")"),0)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IFERROR(__xludf.DUMMYFUNCTION("IMPORTRANGE(""https://docs.google.com/spreadsheets/d/11923uPwbBZFjjGgGUA6NLw09EwE0CqkOc4q9oUmW1yo/edit?usp=sharing"",""แพร่!J176"")"),1)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IFERROR(__xludf.DUMMYFUNCTION("IMPORTRANGE(""https://docs.google.com/spreadsheets/d/11923uPwbBZFjjGgGUA6NLw09EwE0CqkOc4q9oUmW1yo/edit?usp=sharing"",""แพร่!J177"")"),1)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IFERROR(__xludf.DUMMYFUNCTION("IMPORTRANGE(""https://docs.google.com/spreadsheets/d/11923uPwbBZFjjGgGUA6NLw09EwE0CqkOc4q9oUmW1yo/edit?usp=sharing"",""แพร่!J178"")"),1)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IFERROR(__xludf.DUMMYFUNCTION("IMPORTRANGE(""https://docs.google.com/spreadsheets/d/11923uPwbBZFjjGgGUA6NLw09EwE0CqkOc4q9oUmW1yo/edit?usp=sharing"",""แพร่!I179"")"),1)</f>
        <v>1</v>
      </c>
      <c r="J264" s="188">
        <f ca="1">IFERROR(__xludf.DUMMYFUNCTION("IMPORTRANGE(""https://docs.google.com/spreadsheets/d/11923uPwbBZFjjGgGUA6NLw09EwE0CqkOc4q9oUmW1yo/edit?usp=sharing"",""แพร่!J179"")"),1)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IFERROR(__xludf.DUMMYFUNCTION("IMPORTRANGE(""https://docs.google.com/spreadsheets/d/11923uPwbBZFjjGgGUA6NLw09EwE0CqkOc4q9oUmW1yo/edit?usp=sharing"",""แพร่!I180"")"),30)</f>
        <v>30</v>
      </c>
      <c r="J265" s="188">
        <f ca="1">IFERROR(__xludf.DUMMYFUNCTION("IMPORTRANGE(""https://docs.google.com/spreadsheets/d/11923uPwbBZFjjGgGUA6NLw09EwE0CqkOc4q9oUmW1yo/edit?usp=sharing"",""แพร่!J180"")"),30)</f>
        <v>30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IFERROR(__xludf.DUMMYFUNCTION("IMPORTRANGE(""https://docs.google.com/spreadsheets/d/11923uPwbBZFjjGgGUA6NLw09EwE0CqkOc4q9oUmW1yo/edit?usp=sharing"",""แพร่!I181"")"),30)</f>
        <v>30</v>
      </c>
      <c r="J266" s="188">
        <f ca="1">IFERROR(__xludf.DUMMYFUNCTION("IMPORTRANGE(""https://docs.google.com/spreadsheets/d/11923uPwbBZFjjGgGUA6NLw09EwE0CqkOc4q9oUmW1yo/edit?usp=sharing"",""แพร่!J181"")"),30)</f>
        <v>30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IFERROR(__xludf.DUMMYFUNCTION("IMPORTRANGE(""https://docs.google.com/spreadsheets/d/11923uPwbBZFjjGgGUA6NLw09EwE0CqkOc4q9oUmW1yo/edit?usp=sharing"",""แพร่!I182"")"),1)</f>
        <v>1</v>
      </c>
      <c r="J267" s="188">
        <f ca="1">IFERROR(__xludf.DUMMYFUNCTION("IMPORTRANGE(""https://docs.google.com/spreadsheets/d/11923uPwbBZFjjGgGUA6NLw09EwE0CqkOc4q9oUmW1yo/edit?usp=sharing"",""แพร่!J182"")"),1)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IFERROR(__xludf.DUMMYFUNCTION("IMPORTRANGE(""https://docs.google.com/spreadsheets/d/11923uPwbBZFjjGgGUA6NLw09EwE0CqkOc4q9oUmW1yo/edit?usp=sharing"",""แพร่!J183"")"),0)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IFERROR(__xludf.DUMMYFUNCTION("IMPORTRANGE(""https://docs.google.com/spreadsheets/d/11923uPwbBZFjjGgGUA6NLw09EwE0CqkOc4q9oUmW1yo/edit?usp=sharing"",""แพร่!J184"")"),0)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IFERROR(__xludf.DUMMYFUNCTION("IMPORTRANGE(""https://docs.google.com/spreadsheets/d/11923uPwbBZFjjGgGUA6NLw09EwE0CqkOc4q9oUmW1yo/edit?usp=sharing"",""แพร่!I185"")"),20)</f>
        <v>20</v>
      </c>
      <c r="J270" s="316">
        <f ca="1">IFERROR(__xludf.DUMMYFUNCTION("IMPORTRANGE(""https://docs.google.com/spreadsheets/d/11923uPwbBZFjjGgGUA6NLw09EwE0CqkOc4q9oUmW1yo/edit?usp=sharing"",""แพร่!J185"")"),20)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205700</v>
      </c>
      <c r="M271" s="152">
        <f t="shared" ca="1" si="83"/>
        <v>205700</v>
      </c>
      <c r="N271" s="152">
        <f t="shared" ca="1" si="83"/>
        <v>153512</v>
      </c>
      <c r="O271" s="151">
        <f t="shared" ref="O271:O273" ca="1" si="84">IF(L271&gt;0,N271*100/L271,0)</f>
        <v>74.629071463296057</v>
      </c>
      <c r="P271" s="151">
        <f t="shared" ref="P271:P273" ca="1" si="85">IF(M271&gt;0,N271*100/M271,0)</f>
        <v>74.629071463296057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205700</v>
      </c>
      <c r="M273" s="88">
        <f t="shared" ca="1" si="87"/>
        <v>205700</v>
      </c>
      <c r="N273" s="88">
        <f t="shared" ca="1" si="87"/>
        <v>153512</v>
      </c>
      <c r="O273" s="156">
        <f t="shared" ca="1" si="84"/>
        <v>74.629071463296057</v>
      </c>
      <c r="P273" s="156">
        <f t="shared" ca="1" si="85"/>
        <v>74.629071463296057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205700</v>
      </c>
      <c r="M275" s="167">
        <f ca="1">IFERROR(__xludf.DUMMYFUNCTION("IMPORTRANGE(""https://docs.google.com/spreadsheets/d/1Yj_ptqi66GCucihVvJfMjLAmec39IyEx_6qawtMGysU/edit?usp=sharing"",""สบก!CK30"")"),205700)</f>
        <v>205700</v>
      </c>
      <c r="N275" s="168">
        <f ca="1">IFERROR(__xludf.DUMMYFUNCTION("IMPORTRANGE(""https://docs.google.com/spreadsheets/d/1Yj_ptqi66GCucihVvJfMjLAmec39IyEx_6qawtMGysU/edit?usp=sharing"",""สบก!CL30"")"),153512)</f>
        <v>153512</v>
      </c>
      <c r="O275" s="168">
        <f ca="1">IF(L275&gt;0,N275*100/L275,0)</f>
        <v>74.629071463296057</v>
      </c>
      <c r="P275" s="168">
        <f ca="1">IF(M275&gt;0,N275*100/M275,0)</f>
        <v>74.629071463296057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IFERROR(__xludf.DUMMYFUNCTION("IMPORTRANGE(""https://docs.google.com/spreadsheets/d/1Yj_ptqi66GCucihVvJfMjLAmec39IyEx_6qawtMGysU/edit?usp=sharing"",""สบก!CG30"")"),132000)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IFERROR(__xludf.DUMMYFUNCTION("IMPORTRANGE(""https://docs.google.com/spreadsheets/d/1Yj_ptqi66GCucihVvJfMjLAmec39IyEx_6qawtMGysU/edit?usp=sharing"",""สบก!CH30"")"),73700)</f>
        <v>73700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IFERROR(__xludf.DUMMYFUNCTION("IMPORTRANGE(""https://docs.google.com/spreadsheets/d/1Yj_ptqi66GCucihVvJfMjLAmec39IyEx_6qawtMGysU/edit?usp=sharing"",""สบก!CI30"")"),0)</f>
        <v>0</v>
      </c>
      <c r="M279" s="50"/>
      <c r="N279" s="50">
        <f ca="1">IFERROR(__xludf.DUMMYFUNCTION("IMPORTRANGE(""https://docs.google.com/spreadsheets/d/1Yj_ptqi66GCucihVvJfMjLAmec39IyEx_6qawtMGysU/edit?usp=sharing"",""สบก!CM30"")"),0)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IFERROR(__xludf.DUMMYFUNCTION("IMPORTRANGE(""https://docs.google.com/spreadsheets/d/11923uPwbBZFjjGgGUA6NLw09EwE0CqkOc4q9oUmW1yo/edit?usp=sharing"",""แพร่!J191"")"),0)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IFERROR(__xludf.DUMMYFUNCTION("IMPORTRANGE(""https://docs.google.com/spreadsheets/d/11923uPwbBZFjjGgGUA6NLw09EwE0CqkOc4q9oUmW1yo/edit?usp=sharing"",""แพร่!J192"")"),1)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IFERROR(__xludf.DUMMYFUNCTION("IMPORTRANGE(""https://docs.google.com/spreadsheets/d/11923uPwbBZFjjGgGUA6NLw09EwE0CqkOc4q9oUmW1yo/edit?usp=sharing"",""แพร่!J193"")"),1)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IFERROR(__xludf.DUMMYFUNCTION("IMPORTRANGE(""https://docs.google.com/spreadsheets/d/11923uPwbBZFjjGgGUA6NLw09EwE0CqkOc4q9oUmW1yo/edit?usp=sharing"",""แพร่!J194"")"),1)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IFERROR(__xludf.DUMMYFUNCTION("IMPORTRANGE(""https://docs.google.com/spreadsheets/d/11923uPwbBZFjjGgGUA6NLw09EwE0CqkOc4q9oUmW1yo/edit?usp=sharing"",""แพร่!I195"")"),20)</f>
        <v>20</v>
      </c>
      <c r="J285" s="188">
        <f ca="1">IFERROR(__xludf.DUMMYFUNCTION("IMPORTRANGE(""https://docs.google.com/spreadsheets/d/11923uPwbBZFjjGgGUA6NLw09EwE0CqkOc4q9oUmW1yo/edit?usp=sharing"",""แพร่!J195"")"),20)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IFERROR(__xludf.DUMMYFUNCTION("IMPORTRANGE(""https://docs.google.com/spreadsheets/d/11923uPwbBZFjjGgGUA6NLw09EwE0CqkOc4q9oUmW1yo/edit?usp=sharing"",""แพร่!J196"")"),0)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IFERROR(__xludf.DUMMYFUNCTION("IMPORTRANGE(""https://docs.google.com/spreadsheets/d/11923uPwbBZFjjGgGUA6NLw09EwE0CqkOc4q9oUmW1yo/edit?usp=sharing"",""แพร่!J197"")"),0)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IFERROR(__xludf.DUMMYFUNCTION("IMPORTRANGE(""https://docs.google.com/spreadsheets/d/11923uPwbBZFjjGgGUA6NLw09EwE0CqkOc4q9oUmW1yo/edit?usp=sharing"",""แพร่!I199"")"),0)</f>
        <v>0</v>
      </c>
      <c r="J289" s="316">
        <f ca="1">IFERROR(__xludf.DUMMYFUNCTION("IMPORTRANGE(""https://docs.google.com/spreadsheets/d/11923uPwbBZFjjGgGUA6NLw09EwE0CqkOc4q9oUmW1yo/edit?usp=sharing"",""แพร่!J199"")"),0)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IFERROR(__xludf.DUMMYFUNCTION("IMPORTRANGE(""https://docs.google.com/spreadsheets/d/1Yj_ptqi66GCucihVvJfMjLAmec39IyEx_6qawtMGysU/edit?usp=sharing"",""สบก!CT30"")"),0)</f>
        <v>0</v>
      </c>
      <c r="N294" s="168">
        <f ca="1">IFERROR(__xludf.DUMMYFUNCTION("IMPORTRANGE(""https://docs.google.com/spreadsheets/d/1Yj_ptqi66GCucihVvJfMjLAmec39IyEx_6qawtMGysU/edit?usp=sharing"",""สบก!CU30"")"),0)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IFERROR(__xludf.DUMMYFUNCTION("IMPORTRANGE(""https://docs.google.com/spreadsheets/d/1Yj_ptqi66GCucihVvJfMjLAmec39IyEx_6qawtMGysU/edit?usp=sharing"",""สบก!CP30"")"),0)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IFERROR(__xludf.DUMMYFUNCTION("IMPORTRANGE(""https://docs.google.com/spreadsheets/d/1Yj_ptqi66GCucihVvJfMjLAmec39IyEx_6qawtMGysU/edit?usp=sharing"",""สบก!CQ30"")"),0)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IFERROR(__xludf.DUMMYFUNCTION("IMPORTRANGE(""https://docs.google.com/spreadsheets/d/1Yj_ptqi66GCucihVvJfMjLAmec39IyEx_6qawtMGysU/edit?usp=sharing"",""สบก!CR30"")"),0)</f>
        <v>0</v>
      </c>
      <c r="M298" s="50"/>
      <c r="N298" s="50">
        <f ca="1">IFERROR(__xludf.DUMMYFUNCTION("IMPORTRANGE(""https://docs.google.com/spreadsheets/d/1Yj_ptqi66GCucihVvJfMjLAmec39IyEx_6qawtMGysU/edit?usp=sharing"",""สบก!CV30"")"),0)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IFERROR(__xludf.DUMMYFUNCTION("IMPORTRANGE(""https://docs.google.com/spreadsheets/d/11923uPwbBZFjjGgGUA6NLw09EwE0CqkOc4q9oUmW1yo/edit?usp=sharing"",""แพร่!J205"")"),0)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IFERROR(__xludf.DUMMYFUNCTION("IMPORTRANGE(""https://docs.google.com/spreadsheets/d/11923uPwbBZFjjGgGUA6NLw09EwE0CqkOc4q9oUmW1yo/edit?usp=sharing"",""แพร่!J206"")"),0)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IFERROR(__xludf.DUMMYFUNCTION("IMPORTRANGE(""https://docs.google.com/spreadsheets/d/11923uPwbBZFjjGgGUA6NLw09EwE0CqkOc4q9oUmW1yo/edit?usp=sharing"",""แพร่!J207"")"),0)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IFERROR(__xludf.DUMMYFUNCTION("IMPORTRANGE(""https://docs.google.com/spreadsheets/d/11923uPwbBZFjjGgGUA6NLw09EwE0CqkOc4q9oUmW1yo/edit?usp=sharing"",""แพร่!J208"")"),0)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IFERROR(__xludf.DUMMYFUNCTION("IMPORTRANGE(""https://docs.google.com/spreadsheets/d/11923uPwbBZFjjGgGUA6NLw09EwE0CqkOc4q9oUmW1yo/edit?usp=sharing"",""แพร่!I209"")"),0)</f>
        <v>0</v>
      </c>
      <c r="J304" s="203">
        <f ca="1">IFERROR(__xludf.DUMMYFUNCTION("IMPORTRANGE(""https://docs.google.com/spreadsheets/d/11923uPwbBZFjjGgGUA6NLw09EwE0CqkOc4q9oUmW1yo/edit?usp=sharing"",""แพร่!J209"")"),0)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IFERROR(__xludf.DUMMYFUNCTION("IMPORTRANGE(""https://docs.google.com/spreadsheets/d/11923uPwbBZFjjGgGUA6NLw09EwE0CqkOc4q9oUmW1yo/edit?usp=sharing"",""แพร่!I211"")"),0)</f>
        <v>0</v>
      </c>
      <c r="J306" s="203">
        <f ca="1">IFERROR(__xludf.DUMMYFUNCTION("IMPORTRANGE(""https://docs.google.com/spreadsheets/d/11923uPwbBZFjjGgGUA6NLw09EwE0CqkOc4q9oUmW1yo/edit?usp=sharing"",""แพร่!J211"")"),0)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IFERROR(__xludf.DUMMYFUNCTION("IMPORTRANGE(""https://docs.google.com/spreadsheets/d/11923uPwbBZFjjGgGUA6NLw09EwE0CqkOc4q9oUmW1yo/edit?usp=sharing"",""แพร่!J212"")"),0)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IFERROR(__xludf.DUMMYFUNCTION("IMPORTRANGE(""https://docs.google.com/spreadsheets/d/11923uPwbBZFjjGgGUA6NLw09EwE0CqkOc4q9oUmW1yo/edit?usp=sharing"",""แพร่!J213"")"),0)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IFERROR(__xludf.DUMMYFUNCTION("IMPORTRANGE(""https://docs.google.com/spreadsheets/d/11923uPwbBZFjjGgGUA6NLw09EwE0CqkOc4q9oUmW1yo/edit?usp=sharing"",""แพร่!I214"")"),0)</f>
        <v>0</v>
      </c>
      <c r="J309" s="333">
        <f ca="1">IFERROR(__xludf.DUMMYFUNCTION("IMPORTRANGE(""https://docs.google.com/spreadsheets/d/11923uPwbBZFjjGgGUA6NLw09EwE0CqkOc4q9oUmW1yo/edit?usp=sharing"",""แพร่!J214"")"),0)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IFERROR(__xludf.DUMMYFUNCTION("IMPORTRANGE(""https://docs.google.com/spreadsheets/d/1Yj_ptqi66GCucihVvJfMjLAmec39IyEx_6qawtMGysU/edit?usp=sharing"",""สบก!DC30"")"),0)</f>
        <v>0</v>
      </c>
      <c r="N314" s="168">
        <f ca="1">IFERROR(__xludf.DUMMYFUNCTION("IMPORTRANGE(""https://docs.google.com/spreadsheets/d/1Yj_ptqi66GCucihVvJfMjLAmec39IyEx_6qawtMGysU/edit?usp=sharing"",""สบก!DD30"")"),0)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IFERROR(__xludf.DUMMYFUNCTION("IMPORTRANGE(""https://docs.google.com/spreadsheets/d/1Yj_ptqi66GCucihVvJfMjLAmec39IyEx_6qawtMGysU/edit?usp=sharing"",""สบก!CY30"")"),0)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IFERROR(__xludf.DUMMYFUNCTION("IMPORTRANGE(""https://docs.google.com/spreadsheets/d/1Yj_ptqi66GCucihVvJfMjLAmec39IyEx_6qawtMGysU/edit?usp=sharing"",""สบก!CZ30"")"),0)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IFERROR(__xludf.DUMMYFUNCTION("IMPORTRANGE(""https://docs.google.com/spreadsheets/d/1Yj_ptqi66GCucihVvJfMjLAmec39IyEx_6qawtMGysU/edit?usp=sharing"",""สบก!DA30"")"),0)</f>
        <v>0</v>
      </c>
      <c r="M318" s="50"/>
      <c r="N318" s="50">
        <f ca="1">IFERROR(__xludf.DUMMYFUNCTION("IMPORTRANGE(""https://docs.google.com/spreadsheets/d/1Yj_ptqi66GCucihVvJfMjLAmec39IyEx_6qawtMGysU/edit?usp=sharing"",""สบก!DE30"")"),0)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IFERROR(__xludf.DUMMYFUNCTION("IMPORTRANGE(""https://docs.google.com/spreadsheets/d/11923uPwbBZFjjGgGUA6NLw09EwE0CqkOc4q9oUmW1yo/edit?usp=sharing"",""แพร่!J220"")"),0)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IFERROR(__xludf.DUMMYFUNCTION("IMPORTRANGE(""https://docs.google.com/spreadsheets/d/11923uPwbBZFjjGgGUA6NLw09EwE0CqkOc4q9oUmW1yo/edit?usp=sharing"",""แพร่!J221"")"),0)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IFERROR(__xludf.DUMMYFUNCTION("IMPORTRANGE(""https://docs.google.com/spreadsheets/d/11923uPwbBZFjjGgGUA6NLw09EwE0CqkOc4q9oUmW1yo/edit?usp=sharing"",""แพร่!J222"")"),0)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IFERROR(__xludf.DUMMYFUNCTION("IMPORTRANGE(""https://docs.google.com/spreadsheets/d/11923uPwbBZFjjGgGUA6NLw09EwE0CqkOc4q9oUmW1yo/edit?usp=sharing"",""แพร่!J223"")"),0)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IFERROR(__xludf.DUMMYFUNCTION("IMPORTRANGE(""https://docs.google.com/spreadsheets/d/11923uPwbBZFjjGgGUA6NLw09EwE0CqkOc4q9oUmW1yo/edit?usp=sharing"",""แพร่!I224"")"),0)</f>
        <v>0</v>
      </c>
      <c r="J324" s="203">
        <f ca="1">IFERROR(__xludf.DUMMYFUNCTION("IMPORTRANGE(""https://docs.google.com/spreadsheets/d/11923uPwbBZFjjGgGUA6NLw09EwE0CqkOc4q9oUmW1yo/edit?usp=sharing"",""แพร่!J224"")"),0)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IFERROR(__xludf.DUMMYFUNCTION("IMPORTRANGE(""https://docs.google.com/spreadsheets/d/11923uPwbBZFjjGgGUA6NLw09EwE0CqkOc4q9oUmW1yo/edit?usp=sharing"",""แพร่!J225"")"),0)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IFERROR(__xludf.DUMMYFUNCTION("IMPORTRANGE(""https://docs.google.com/spreadsheets/d/11923uPwbBZFjjGgGUA6NLw09EwE0CqkOc4q9oUmW1yo/edit?usp=sharing"",""แพร่!J226"")"),0)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IFERROR(__xludf.DUMMYFUNCTION("IMPORTRANGE(""https://docs.google.com/spreadsheets/d/11923uPwbBZFjjGgGUA6NLw09EwE0CqkOc4q9oUmW1yo/edit?usp=sharing"",""แพร่!I228"")"),360)</f>
        <v>360</v>
      </c>
      <c r="J328" s="339">
        <f ca="1">IFERROR(__xludf.DUMMYFUNCTION("IMPORTRANGE(""https://docs.google.com/spreadsheets/d/11923uPwbBZFjjGgGUA6NLw09EwE0CqkOc4q9oUmW1yo/edit?usp=sharing"",""แพร่!J228"")"),581)</f>
        <v>581</v>
      </c>
      <c r="K328" s="317">
        <f ca="1">IF(I328&gt;0,J328*100/I328,0)</f>
        <v>161.38888888888889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833180</v>
      </c>
      <c r="M329" s="152">
        <f t="shared" ca="1" si="98"/>
        <v>875680</v>
      </c>
      <c r="N329" s="152">
        <f t="shared" ca="1" si="98"/>
        <v>752262.13</v>
      </c>
      <c r="O329" s="151">
        <f t="shared" ref="O329:O331" ca="1" si="99">IF(L329&gt;0,N329*100/L329,0)</f>
        <v>90.288068604623248</v>
      </c>
      <c r="P329" s="151">
        <f t="shared" ref="P329:P331" ca="1" si="100">IF(M329&gt;0,N329*100/M329,0)</f>
        <v>85.906053581216881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833180</v>
      </c>
      <c r="M331" s="88">
        <f t="shared" ca="1" si="102"/>
        <v>875680</v>
      </c>
      <c r="N331" s="88">
        <f t="shared" ca="1" si="102"/>
        <v>752262.13</v>
      </c>
      <c r="O331" s="156">
        <f t="shared" ca="1" si="99"/>
        <v>90.288068604623248</v>
      </c>
      <c r="P331" s="156">
        <f t="shared" ca="1" si="100"/>
        <v>85.906053581216881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823180</v>
      </c>
      <c r="M333" s="167">
        <f ca="1">IFERROR(__xludf.DUMMYFUNCTION("IMPORTRANGE(""https://docs.google.com/spreadsheets/d/1Yj_ptqi66GCucihVvJfMjLAmec39IyEx_6qawtMGysU/edit?usp=sharing"",""สบก!DL30"")"),865680)</f>
        <v>865680</v>
      </c>
      <c r="N333" s="168">
        <f ca="1">IFERROR(__xludf.DUMMYFUNCTION("IMPORTRANGE(""https://docs.google.com/spreadsheets/d/1Yj_ptqi66GCucihVvJfMjLAmec39IyEx_6qawtMGysU/edit?usp=sharing"",""สบก!DM30"")"),742262.13)</f>
        <v>742262.13</v>
      </c>
      <c r="O333" s="168">
        <f ca="1">IF(L333&gt;0,N333*100/L333,0)</f>
        <v>90.170087951602326</v>
      </c>
      <c r="P333" s="168">
        <f ca="1">IF(M333&gt;0,N333*100/M333,0)</f>
        <v>85.743245772109788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IFERROR(__xludf.DUMMYFUNCTION("IMPORTRANGE(""https://docs.google.com/spreadsheets/d/1Yj_ptqi66GCucihVvJfMjLAmec39IyEx_6qawtMGysU/edit?usp=sharing"",""สบก!DH30"")"),491200)</f>
        <v>491200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IFERROR(__xludf.DUMMYFUNCTION("IMPORTRANGE(""https://docs.google.com/spreadsheets/d/1Yj_ptqi66GCucihVvJfMjLAmec39IyEx_6qawtMGysU/edit?usp=sharing"",""สบก!DI30"")"),331980)</f>
        <v>331980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IFERROR(__xludf.DUMMYFUNCTION("IMPORTRANGE(""https://docs.google.com/spreadsheets/d/1Yj_ptqi66GCucihVvJfMjLAmec39IyEx_6qawtMGysU/edit?usp=sharing"",""สบก!DJ30"")"),10000)</f>
        <v>10000</v>
      </c>
      <c r="M337" s="50">
        <f ca="1">L337</f>
        <v>10000</v>
      </c>
      <c r="N337" s="50">
        <f ca="1">IFERROR(__xludf.DUMMYFUNCTION("IMPORTRANGE(""https://docs.google.com/spreadsheets/d/1Yj_ptqi66GCucihVvJfMjLAmec39IyEx_6qawtMGysU/edit?usp=sharing"",""สบก!DN30"")"),10000)</f>
        <v>10000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IFERROR(__xludf.DUMMYFUNCTION("IMPORTRANGE(""https://docs.google.com/spreadsheets/d/11923uPwbBZFjjGgGUA6NLw09EwE0CqkOc4q9oUmW1yo/edit?usp=sharing"",""แพร่!I234"")"),0)</f>
        <v>0</v>
      </c>
      <c r="J339" s="187">
        <f ca="1">IFERROR(__xludf.DUMMYFUNCTION("IMPORTRANGE(""https://docs.google.com/spreadsheets/d/11923uPwbBZFjjGgGUA6NLw09EwE0CqkOc4q9oUmW1yo/edit?usp=sharing"",""แพร่!J234"")"),164)</f>
        <v>164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IFERROR(__xludf.DUMMYFUNCTION("IMPORTRANGE(""https://docs.google.com/spreadsheets/d/11923uPwbBZFjjGgGUA6NLw09EwE0CqkOc4q9oUmW1yo/edit?usp=sharing"",""แพร่!I235"")"),1300)</f>
        <v>1300</v>
      </c>
      <c r="J340" s="187">
        <f ca="1">IFERROR(__xludf.DUMMYFUNCTION("IMPORTRANGE(""https://docs.google.com/spreadsheets/d/11923uPwbBZFjjGgGUA6NLw09EwE0CqkOc4q9oUmW1yo/edit?usp=sharing"",""แพร่!J235"")"),1233.42)</f>
        <v>1233.42</v>
      </c>
      <c r="K340" s="342">
        <f t="shared" ca="1" si="103"/>
        <v>94.878461538461536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IFERROR(__xludf.DUMMYFUNCTION("IMPORTRANGE(""https://docs.google.com/spreadsheets/d/11923uPwbBZFjjGgGUA6NLw09EwE0CqkOc4q9oUmW1yo/edit?usp=sharing"",""แพร่!I236"")"),360)</f>
        <v>360</v>
      </c>
      <c r="J341" s="187">
        <f ca="1">IFERROR(__xludf.DUMMYFUNCTION("IMPORTRANGE(""https://docs.google.com/spreadsheets/d/11923uPwbBZFjjGgGUA6NLw09EwE0CqkOc4q9oUmW1yo/edit?usp=sharing"",""แพร่!J236"")"),661)</f>
        <v>661</v>
      </c>
      <c r="K341" s="342">
        <f t="shared" ca="1" si="103"/>
        <v>183.61111111111111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IFERROR(__xludf.DUMMYFUNCTION("IMPORTRANGE(""https://docs.google.com/spreadsheets/d/11923uPwbBZFjjGgGUA6NLw09EwE0CqkOc4q9oUmW1yo/edit?usp=sharing"",""แพร่!I237"")"),0)</f>
        <v>0</v>
      </c>
      <c r="J342" s="187">
        <f ca="1">IFERROR(__xludf.DUMMYFUNCTION("IMPORTRANGE(""https://docs.google.com/spreadsheets/d/11923uPwbBZFjjGgGUA6NLw09EwE0CqkOc4q9oUmW1yo/edit?usp=sharing"",""แพร่!J237"")"),5919.73)</f>
        <v>5919.73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IFERROR(__xludf.DUMMYFUNCTION("IMPORTRANGE(""https://docs.google.com/spreadsheets/d/11923uPwbBZFjjGgGUA6NLw09EwE0CqkOc4q9oUmW1yo/edit?usp=sharing"",""แพร่!I238"")"),360)</f>
        <v>360</v>
      </c>
      <c r="J343" s="187">
        <f ca="1">IFERROR(__xludf.DUMMYFUNCTION("IMPORTRANGE(""https://docs.google.com/spreadsheets/d/11923uPwbBZFjjGgGUA6NLw09EwE0CqkOc4q9oUmW1yo/edit?usp=sharing"",""แพร่!J238"")"),0)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IFERROR(__xludf.DUMMYFUNCTION("IMPORTRANGE(""https://docs.google.com/spreadsheets/d/11923uPwbBZFjjGgGUA6NLw09EwE0CqkOc4q9oUmW1yo/edit?usp=sharing"",""แพร่!I239"")"),0)</f>
        <v>0</v>
      </c>
      <c r="J344" s="187">
        <f ca="1">IFERROR(__xludf.DUMMYFUNCTION("IMPORTRANGE(""https://docs.google.com/spreadsheets/d/11923uPwbBZFjjGgGUA6NLw09EwE0CqkOc4q9oUmW1yo/edit?usp=sharing"",""แพร่!J239"")"),0)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IFERROR(__xludf.DUMMYFUNCTION("IMPORTRANGE(""https://docs.google.com/spreadsheets/d/11923uPwbBZFjjGgGUA6NLw09EwE0CqkOc4q9oUmW1yo/edit?usp=sharing"",""แพร่!I240"")"),360)</f>
        <v>360</v>
      </c>
      <c r="J345" s="187">
        <f ca="1">IFERROR(__xludf.DUMMYFUNCTION("IMPORTRANGE(""https://docs.google.com/spreadsheets/d/11923uPwbBZFjjGgGUA6NLw09EwE0CqkOc4q9oUmW1yo/edit?usp=sharing"",""แพร่!J240"")"),581)</f>
        <v>581</v>
      </c>
      <c r="K345" s="342">
        <f t="shared" ca="1" si="103"/>
        <v>161.38888888888889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IFERROR(__xludf.DUMMYFUNCTION("IMPORTRANGE(""https://docs.google.com/spreadsheets/d/11923uPwbBZFjjGgGUA6NLw09EwE0CqkOc4q9oUmW1yo/edit?usp=sharing"",""แพร่!I241"")"),0)</f>
        <v>0</v>
      </c>
      <c r="J346" s="187">
        <f ca="1">IFERROR(__xludf.DUMMYFUNCTION("IMPORTRANGE(""https://docs.google.com/spreadsheets/d/11923uPwbBZFjjGgGUA6NLw09EwE0CqkOc4q9oUmW1yo/edit?usp=sharing"",""แพร่!J241"")"),5105.34)</f>
        <v>5105.34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IFERROR(__xludf.DUMMYFUNCTION("IMPORTRANGE(""https://docs.google.com/spreadsheets/d/11923uPwbBZFjjGgGUA6NLw09EwE0CqkOc4q9oUmW1yo/edit?usp=sharing"",""แพร่!L242"")"),1865460)</f>
        <v>1865460</v>
      </c>
      <c r="M347" s="357"/>
      <c r="N347" s="357">
        <f ca="1">IFERROR(__xludf.DUMMYFUNCTION("IMPORTRANGE(""https://docs.google.com/spreadsheets/d/11923uPwbBZFjjGgGUA6NLw09EwE0CqkOc4q9oUmW1yo/edit?usp=sharing"",""แพร่!M242"")"),901951.45)</f>
        <v>901951.45</v>
      </c>
      <c r="O347" s="357">
        <f ca="1">+IF(L347&gt;0,N347*100/L347,0)</f>
        <v>48.350082553364857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IFERROR(__xludf.DUMMYFUNCTION("IMPORTRANGE(""https://docs.google.com/spreadsheets/d/11923uPwbBZFjjGgGUA6NLw09EwE0CqkOc4q9oUmW1yo/edit?usp=sharing"",""แพร่!I244"")"),90)</f>
        <v>90</v>
      </c>
      <c r="J349" s="370">
        <f ca="1">IFERROR(__xludf.DUMMYFUNCTION("IMPORTRANGE(""https://docs.google.com/spreadsheets/d/11923uPwbBZFjjGgGUA6NLw09EwE0CqkOc4q9oUmW1yo/edit?usp=sharing"",""แพร่!J244"")"),90)</f>
        <v>90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IFERROR(__xludf.DUMMYFUNCTION("IMPORTRANGE(""https://docs.google.com/spreadsheets/d/11923uPwbBZFjjGgGUA6NLw09EwE0CqkOc4q9oUmW1yo/edit?usp=sharing"",""แพร่!L244"")"),348030)</f>
        <v>348030</v>
      </c>
      <c r="M349" s="372"/>
      <c r="N349" s="372">
        <f ca="1">IFERROR(__xludf.DUMMYFUNCTION("IMPORTRANGE(""https://docs.google.com/spreadsheets/d/11923uPwbBZFjjGgGUA6NLw09EwE0CqkOc4q9oUmW1yo/edit?usp=sharing"",""แพร่!M244"")"),293936)</f>
        <v>293936</v>
      </c>
      <c r="O349" s="372">
        <f ca="1">+IF(L349&gt;0,N349*100/L349,0)</f>
        <v>84.45708703272706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IFERROR(__xludf.DUMMYFUNCTION("IMPORTRANGE(""https://docs.google.com/spreadsheets/d/11923uPwbBZFjjGgGUA6NLw09EwE0CqkOc4q9oUmW1yo/edit?usp=sharing"",""แพร่!I245"")"),55)</f>
        <v>55</v>
      </c>
      <c r="J350" s="370">
        <f ca="1">IFERROR(__xludf.DUMMYFUNCTION("IMPORTRANGE(""https://docs.google.com/spreadsheets/d/11923uPwbBZFjjGgGUA6NLw09EwE0CqkOc4q9oUmW1yo/edit?usp=sharing"",""แพร่!J245"")"),55)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IFERROR(__xludf.DUMMYFUNCTION("IMPORTRANGE(""https://docs.google.com/spreadsheets/d/11923uPwbBZFjjGgGUA6NLw09EwE0CqkOc4q9oUmW1yo/edit?usp=sharing"",""แพร่!L246"")"),0)</f>
        <v>0</v>
      </c>
      <c r="M351" s="164"/>
      <c r="N351" s="164">
        <f ca="1">IFERROR(__xludf.DUMMYFUNCTION("IMPORTRANGE(""https://docs.google.com/spreadsheets/d/11923uPwbBZFjjGgGUA6NLw09EwE0CqkOc4q9oUmW1yo/edit?usp=sharing"",""แพร่!M246"")"),0)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IFERROR(__xludf.DUMMYFUNCTION("IMPORTRANGE(""https://docs.google.com/spreadsheets/d/11923uPwbBZFjjGgGUA6NLw09EwE0CqkOc4q9oUmW1yo/edit?usp=sharing"",""แพร่!L247"")"),348030)</f>
        <v>348030</v>
      </c>
      <c r="M352" s="165"/>
      <c r="N352" s="164">
        <f ca="1">IFERROR(__xludf.DUMMYFUNCTION("IMPORTRANGE(""https://docs.google.com/spreadsheets/d/11923uPwbBZFjjGgGUA6NLw09EwE0CqkOc4q9oUmW1yo/edit?usp=sharing"",""แพร่!M247"")"),293936)</f>
        <v>293936</v>
      </c>
      <c r="O352" s="165">
        <f t="shared" ca="1" si="105"/>
        <v>84.45708703272706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IFERROR(__xludf.DUMMYFUNCTION("IMPORTRANGE(""https://docs.google.com/spreadsheets/d/11923uPwbBZFjjGgGUA6NLw09EwE0CqkOc4q9oUmW1yo/edit?usp=sharing"",""แพร่!L248"")"),0)</f>
        <v>0</v>
      </c>
      <c r="M353" s="168"/>
      <c r="N353" s="168">
        <f ca="1">IFERROR(__xludf.DUMMYFUNCTION("IMPORTRANGE(""https://docs.google.com/spreadsheets/d/11923uPwbBZFjjGgGUA6NLw09EwE0CqkOc4q9oUmW1yo/edit?usp=sharing"",""แพร่!M248"")"),0)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IFERROR(__xludf.DUMMYFUNCTION("IMPORTRANGE(""https://docs.google.com/spreadsheets/d/11923uPwbBZFjjGgGUA6NLw09EwE0CqkOc4q9oUmW1yo/edit?usp=sharing"",""แพร่!L249"")"),348030)</f>
        <v>348030</v>
      </c>
      <c r="M354" s="168"/>
      <c r="N354" s="167">
        <f ca="1">IFERROR(__xludf.DUMMYFUNCTION("IMPORTRANGE(""https://docs.google.com/spreadsheets/d/11923uPwbBZFjjGgGUA6NLw09EwE0CqkOc4q9oUmW1yo/edit?usp=sharing"",""แพร่!M249"")"),293936)</f>
        <v>293936</v>
      </c>
      <c r="O354" s="168">
        <f t="shared" ca="1" si="105"/>
        <v>84.45708703272706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IFERROR(__xludf.DUMMYFUNCTION("IMPORTRANGE(""https://docs.google.com/spreadsheets/d/11923uPwbBZFjjGgGUA6NLw09EwE0CqkOc4q9oUmW1yo/edit?usp=sharing"",""แพร่!M250"")"),67500)</f>
        <v>67500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IFERROR(__xludf.DUMMYFUNCTION("IMPORTRANGE(""https://docs.google.com/spreadsheets/d/11923uPwbBZFjjGgGUA6NLw09EwE0CqkOc4q9oUmW1yo/edit?usp=sharing"",""แพร่!M251"")"),93000)</f>
        <v>93000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IFERROR(__xludf.DUMMYFUNCTION("IMPORTRANGE(""https://docs.google.com/spreadsheets/d/11923uPwbBZFjjGgGUA6NLw09EwE0CqkOc4q9oUmW1yo/edit?usp=sharing"",""แพร่!M252"")"),77000)</f>
        <v>77000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IFERROR(__xludf.DUMMYFUNCTION("IMPORTRANGE(""https://docs.google.com/spreadsheets/d/11923uPwbBZFjjGgGUA6NLw09EwE0CqkOc4q9oUmW1yo/edit?usp=sharing"",""แพร่!M253"")"),56436)</f>
        <v>56436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IFERROR(__xludf.DUMMYFUNCTION("IMPORTRANGE(""https://docs.google.com/spreadsheets/d/11923uPwbBZFjjGgGUA6NLw09EwE0CqkOc4q9oUmW1yo/edit?usp=sharing"",""แพร่!J255"")"),0)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IFERROR(__xludf.DUMMYFUNCTION("IMPORTRANGE(""https://docs.google.com/spreadsheets/d/11923uPwbBZFjjGgGUA6NLw09EwE0CqkOc4q9oUmW1yo/edit?usp=sharing"",""แพร่!J256"")"),1)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IFERROR(__xludf.DUMMYFUNCTION("IMPORTRANGE(""https://docs.google.com/spreadsheets/d/11923uPwbBZFjjGgGUA6NLw09EwE0CqkOc4q9oUmW1yo/edit?usp=sharing"",""แพร่!J257"")"),1)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IFERROR(__xludf.DUMMYFUNCTION("IMPORTRANGE(""https://docs.google.com/spreadsheets/d/11923uPwbBZFjjGgGUA6NLw09EwE0CqkOc4q9oUmW1yo/edit?usp=sharing"",""แพร่!J258"")"),1)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IFERROR(__xludf.DUMMYFUNCTION("IMPORTRANGE(""https://docs.google.com/spreadsheets/d/11923uPwbBZFjjGgGUA6NLw09EwE0CqkOc4q9oUmW1yo/edit?usp=sharing"",""แพร่!J166"")"),0)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IFERROR(__xludf.DUMMYFUNCTION("IMPORTRANGE(""https://docs.google.com/spreadsheets/d/11923uPwbBZFjjGgGUA6NLw09EwE0CqkOc4q9oUmW1yo/edit?usp=sharing"",""แพร่!J166"")"),0)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IFERROR(__xludf.DUMMYFUNCTION("IMPORTRANGE(""https://docs.google.com/spreadsheets/d/11923uPwbBZFjjGgGUA6NLw09EwE0CqkOc4q9oUmW1yo/edit?usp=sharing"",""แพร่!J166"")"),0)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IFERROR(__xludf.DUMMYFUNCTION("IMPORTRANGE(""https://docs.google.com/spreadsheets/d/11923uPwbBZFjjGgGUA6NLw09EwE0CqkOc4q9oUmW1yo/edit?usp=sharing"",""แพร่!J166"")"),0)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IFERROR(__xludf.DUMMYFUNCTION("IMPORTRANGE(""https://docs.google.com/spreadsheets/d/11923uPwbBZFjjGgGUA6NLw09EwE0CqkOc4q9oUmW1yo/edit?usp=sharing"",""แพร่!I263"")"),55)</f>
        <v>55</v>
      </c>
      <c r="J368" s="187">
        <f ca="1">IFERROR(__xludf.DUMMYFUNCTION("IMPORTRANGE(""https://docs.google.com/spreadsheets/d/11923uPwbBZFjjGgGUA6NLw09EwE0CqkOc4q9oUmW1yo/edit?usp=sharing"",""แพร่!J263"")"),55)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IFERROR(__xludf.DUMMYFUNCTION("IMPORTRANGE(""https://docs.google.com/spreadsheets/d/11923uPwbBZFjjGgGUA6NLw09EwE0CqkOc4q9oUmW1yo/edit?usp=sharing"",""แพร่!I164"")"),0)</f>
        <v>0</v>
      </c>
      <c r="J369" s="203">
        <f ca="1">IFERROR(__xludf.DUMMYFUNCTION("IMPORTRANGE(""https://docs.google.com/spreadsheets/d/11923uPwbBZFjjGgGUA6NLw09EwE0CqkOc4q9oUmW1yo/edit?usp=sharing"",""แพร่!J164"")"),0)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IFERROR(__xludf.DUMMYFUNCTION("IMPORTRANGE(""https://docs.google.com/spreadsheets/d/11923uPwbBZFjjGgGUA6NLw09EwE0CqkOc4q9oUmW1yo/edit?usp=sharing"",""แพร่!I265"")"),55)</f>
        <v>55</v>
      </c>
      <c r="J370" s="203">
        <f ca="1">IFERROR(__xludf.DUMMYFUNCTION("IMPORTRANGE(""https://docs.google.com/spreadsheets/d/11923uPwbBZFjjGgGUA6NLw09EwE0CqkOc4q9oUmW1yo/edit?usp=sharing"",""แพร่!J265"")"),55)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IFERROR(__xludf.DUMMYFUNCTION("IMPORTRANGE(""https://docs.google.com/spreadsheets/d/11923uPwbBZFjjGgGUA6NLw09EwE0CqkOc4q9oUmW1yo/edit?usp=sharing"",""แพร่!I164"")"),0)</f>
        <v>0</v>
      </c>
      <c r="J371" s="188">
        <f ca="1">IFERROR(__xludf.DUMMYFUNCTION("IMPORTRANGE(""https://docs.google.com/spreadsheets/d/11923uPwbBZFjjGgGUA6NLw09EwE0CqkOc4q9oUmW1yo/edit?usp=sharing"",""แพร่!J164"")"),0)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IFERROR(__xludf.DUMMYFUNCTION("IMPORTRANGE(""https://docs.google.com/spreadsheets/d/11923uPwbBZFjjGgGUA6NLw09EwE0CqkOc4q9oUmW1yo/edit?usp=sharing"",""แพร่!I267"")"),55)</f>
        <v>55</v>
      </c>
      <c r="J372" s="188">
        <f ca="1">IFERROR(__xludf.DUMMYFUNCTION("IMPORTRANGE(""https://docs.google.com/spreadsheets/d/11923uPwbBZFjjGgGUA6NLw09EwE0CqkOc4q9oUmW1yo/edit?usp=sharing"",""แพร่!J267"")"),55)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IFERROR(__xludf.DUMMYFUNCTION("IMPORTRANGE(""https://docs.google.com/spreadsheets/d/11923uPwbBZFjjGgGUA6NLw09EwE0CqkOc4q9oUmW1yo/edit?usp=sharing"",""แพร่!I164"")"),0)</f>
        <v>0</v>
      </c>
      <c r="J373" s="203">
        <f ca="1">IFERROR(__xludf.DUMMYFUNCTION("IMPORTRANGE(""https://docs.google.com/spreadsheets/d/11923uPwbBZFjjGgGUA6NLw09EwE0CqkOc4q9oUmW1yo/edit?usp=sharing"",""แพร่!J164"")"),0)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IFERROR(__xludf.DUMMYFUNCTION("IMPORTRANGE(""https://docs.google.com/spreadsheets/d/11923uPwbBZFjjGgGUA6NLw09EwE0CqkOc4q9oUmW1yo/edit?usp=sharing"",""แพร่!I164"")"),0)</f>
        <v>0</v>
      </c>
      <c r="J374" s="187">
        <f ca="1">IFERROR(__xludf.DUMMYFUNCTION("IMPORTRANGE(""https://docs.google.com/spreadsheets/d/11923uPwbBZFjjGgGUA6NLw09EwE0CqkOc4q9oUmW1yo/edit?usp=sharing"",""แพร่!J164"")"),0)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IFERROR(__xludf.DUMMYFUNCTION("IMPORTRANGE(""https://docs.google.com/spreadsheets/d/11923uPwbBZFjjGgGUA6NLw09EwE0CqkOc4q9oUmW1yo/edit?usp=sharing"",""แพร่!I270"")"),90)</f>
        <v>90</v>
      </c>
      <c r="J375" s="187">
        <f ca="1">IFERROR(__xludf.DUMMYFUNCTION("IMPORTRANGE(""https://docs.google.com/spreadsheets/d/11923uPwbBZFjjGgGUA6NLw09EwE0CqkOc4q9oUmW1yo/edit?usp=sharing"",""แพร่!J270"")"),90)</f>
        <v>90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IFERROR(__xludf.DUMMYFUNCTION("IMPORTRANGE(""https://docs.google.com/spreadsheets/d/11923uPwbBZFjjGgGUA6NLw09EwE0CqkOc4q9oUmW1yo/edit?usp=sharing"",""แพร่!I271"")"),50)</f>
        <v>50</v>
      </c>
      <c r="J376" s="188">
        <f ca="1">IFERROR(__xludf.DUMMYFUNCTION("IMPORTRANGE(""https://docs.google.com/spreadsheets/d/11923uPwbBZFjjGgGUA6NLw09EwE0CqkOc4q9oUmW1yo/edit?usp=sharing"",""แพร่!J271"")"),50)</f>
        <v>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IFERROR(__xludf.DUMMYFUNCTION("IMPORTRANGE(""https://docs.google.com/spreadsheets/d/11923uPwbBZFjjGgGUA6NLw09EwE0CqkOc4q9oUmW1yo/edit?usp=sharing"",""แพร่!I272"")"),40)</f>
        <v>40</v>
      </c>
      <c r="J377" s="203">
        <f ca="1">IFERROR(__xludf.DUMMYFUNCTION("IMPORTRANGE(""https://docs.google.com/spreadsheets/d/11923uPwbBZFjjGgGUA6NLw09EwE0CqkOc4q9oUmW1yo/edit?usp=sharing"",""แพร่!J272"")"),40)</f>
        <v>40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IFERROR(__xludf.DUMMYFUNCTION("IMPORTRANGE(""https://docs.google.com/spreadsheets/d/11923uPwbBZFjjGgGUA6NLw09EwE0CqkOc4q9oUmW1yo/edit?usp=sharing"",""แพร่!J273"")"),0)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IFERROR(__xludf.DUMMYFUNCTION("IMPORTRANGE(""https://docs.google.com/spreadsheets/d/11923uPwbBZFjjGgGUA6NLw09EwE0CqkOc4q9oUmW1yo/edit?usp=sharing"",""แพร่!J274"")"),0)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IFERROR(__xludf.DUMMYFUNCTION("IMPORTRANGE(""https://docs.google.com/spreadsheets/d/11923uPwbBZFjjGgGUA6NLw09EwE0CqkOc4q9oUmW1yo/edit?usp=sharing"",""แพร่!I275"")"),1000)</f>
        <v>1000</v>
      </c>
      <c r="J380" s="370">
        <f ca="1">IFERROR(__xludf.DUMMYFUNCTION("IMPORTRANGE(""https://docs.google.com/spreadsheets/d/11923uPwbBZFjjGgGUA6NLw09EwE0CqkOc4q9oUmW1yo/edit?usp=sharing"",""แพร่!J275"")"),1000)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IFERROR(__xludf.DUMMYFUNCTION("IMPORTRANGE(""https://docs.google.com/spreadsheets/d/11923uPwbBZFjjGgGUA6NLw09EwE0CqkOc4q9oUmW1yo/edit?usp=sharing"",""แพร่!L275"")"),1028520)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IFERROR(__xludf.DUMMYFUNCTION("IMPORTRANGE(""https://docs.google.com/spreadsheets/d/11923uPwbBZFjjGgGUA6NLw09EwE0CqkOc4q9oUmW1yo/edit?usp=sharing"",""แพร่!M275"")"),273968.45)</f>
        <v>273968.45</v>
      </c>
      <c r="O380" s="372">
        <f ca="1">+IF(L380&gt;0,N380*100/L380,0)</f>
        <v>26.63715338544705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IFERROR(__xludf.DUMMYFUNCTION("IMPORTRANGE(""https://docs.google.com/spreadsheets/d/11923uPwbBZFjjGgGUA6NLw09EwE0CqkOc4q9oUmW1yo/edit?usp=sharing"",""แพร่!I276"")"),100)</f>
        <v>100</v>
      </c>
      <c r="J381" s="370">
        <f ca="1">IFERROR(__xludf.DUMMYFUNCTION("IMPORTRANGE(""https://docs.google.com/spreadsheets/d/11923uPwbBZFjjGgGUA6NLw09EwE0CqkOc4q9oUmW1yo/edit?usp=sharing"",""แพร่!J276"")"),100)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IFERROR(__xludf.DUMMYFUNCTION("IMPORTRANGE(""https://docs.google.com/spreadsheets/d/11923uPwbBZFjjGgGUA6NLw09EwE0CqkOc4q9oUmW1yo/edit?usp=sharing"",""แพร่!L277"")"),0)</f>
        <v>0</v>
      </c>
      <c r="M382" s="164"/>
      <c r="N382" s="164">
        <f ca="1">IFERROR(__xludf.DUMMYFUNCTION("IMPORTRANGE(""https://docs.google.com/spreadsheets/d/11923uPwbBZFjjGgGUA6NLw09EwE0CqkOc4q9oUmW1yo/edit?usp=sharing"",""แพร่!M277"")"),0)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IFERROR(__xludf.DUMMYFUNCTION("IMPORTRANGE(""https://docs.google.com/spreadsheets/d/11923uPwbBZFjjGgGUA6NLw09EwE0CqkOc4q9oUmW1yo/edit?usp=sharing"",""แพร่!L278"")"),1028520)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IFERROR(__xludf.DUMMYFUNCTION("IMPORTRANGE(""https://docs.google.com/spreadsheets/d/11923uPwbBZFjjGgGUA6NLw09EwE0CqkOc4q9oUmW1yo/edit?usp=sharing"",""แพร่!M278"")"),273968.45)</f>
        <v>273968.45</v>
      </c>
      <c r="O383" s="165">
        <f t="shared" ca="1" si="109"/>
        <v>26.63715338544705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IFERROR(__xludf.DUMMYFUNCTION("IMPORTRANGE(""https://docs.google.com/spreadsheets/d/11923uPwbBZFjjGgGUA6NLw09EwE0CqkOc4q9oUmW1yo/edit?usp=sharing"",""แพร่!L279"")"),0)</f>
        <v>0</v>
      </c>
      <c r="M384" s="168"/>
      <c r="N384" s="168">
        <f ca="1">IFERROR(__xludf.DUMMYFUNCTION("IMPORTRANGE(""https://docs.google.com/spreadsheets/d/11923uPwbBZFjjGgGUA6NLw09EwE0CqkOc4q9oUmW1yo/edit?usp=sharing"",""แพร่!M279"")"),0)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IFERROR(__xludf.DUMMYFUNCTION("IMPORTRANGE(""https://docs.google.com/spreadsheets/d/11923uPwbBZFjjGgGUA6NLw09EwE0CqkOc4q9oUmW1yo/edit?usp=sharing"",""แพร่!L280"")"),1028520)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IFERROR(__xludf.DUMMYFUNCTION("IMPORTRANGE(""https://docs.google.com/spreadsheets/d/11923uPwbBZFjjGgGUA6NLw09EwE0CqkOc4q9oUmW1yo/edit?usp=sharing"",""แพร่!M280"")"),273968.45)</f>
        <v>273968.45</v>
      </c>
      <c r="O385" s="168">
        <f t="shared" ca="1" si="109"/>
        <v>26.63715338544705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IFERROR(__xludf.DUMMYFUNCTION("IMPORTRANGE(""https://docs.google.com/spreadsheets/d/11923uPwbBZFjjGgGUA6NLw09EwE0CqkOc4q9oUmW1yo/edit?usp=sharing"",""แพร่!M281"")"),172428)</f>
        <v>172428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IFERROR(__xludf.DUMMYFUNCTION("IMPORTRANGE(""https://docs.google.com/spreadsheets/d/11923uPwbBZFjjGgGUA6NLw09EwE0CqkOc4q9oUmW1yo/edit?usp=sharing"",""แพร่!M282"")"),0)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IFERROR(__xludf.DUMMYFUNCTION("IMPORTRANGE(""https://docs.google.com/spreadsheets/d/11923uPwbBZFjjGgGUA6NLw09EwE0CqkOc4q9oUmW1yo/edit?usp=sharing"",""แพร่!M283"")"),77000)</f>
        <v>77000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IFERROR(__xludf.DUMMYFUNCTION("IMPORTRANGE(""https://docs.google.com/spreadsheets/d/11923uPwbBZFjjGgGUA6NLw09EwE0CqkOc4q9oUmW1yo/edit?usp=sharing"",""แพร่!M284"")"),24540.45)</f>
        <v>24540.45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IFERROR(__xludf.DUMMYFUNCTION("IMPORTRANGE(""https://docs.google.com/spreadsheets/d/11923uPwbBZFjjGgGUA6NLw09EwE0CqkOc4q9oUmW1yo/edit?usp=sharing"",""แพร่!J286"")"),0)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IFERROR(__xludf.DUMMYFUNCTION("IMPORTRANGE(""https://docs.google.com/spreadsheets/d/11923uPwbBZFjjGgGUA6NLw09EwE0CqkOc4q9oUmW1yo/edit?usp=sharing"",""แพร่!J287"")"),1)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IFERROR(__xludf.DUMMYFUNCTION("IMPORTRANGE(""https://docs.google.com/spreadsheets/d/11923uPwbBZFjjGgGUA6NLw09EwE0CqkOc4q9oUmW1yo/edit?usp=sharing"",""แพร่!J288"")"),1)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IFERROR(__xludf.DUMMYFUNCTION("IMPORTRANGE(""https://docs.google.com/spreadsheets/d/11923uPwbBZFjjGgGUA6NLw09EwE0CqkOc4q9oUmW1yo/edit?usp=sharing"",""แพร่!J289"")"),1)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IFERROR(__xludf.DUMMYFUNCTION("IMPORTRANGE(""https://docs.google.com/spreadsheets/d/11923uPwbBZFjjGgGUA6NLw09EwE0CqkOc4q9oUmW1yo/edit?usp=sharing"",""แพร่!I291"")"),100)</f>
        <v>100</v>
      </c>
      <c r="J396" s="197">
        <f ca="1">IFERROR(__xludf.DUMMYFUNCTION("IMPORTRANGE(""https://docs.google.com/spreadsheets/d/11923uPwbBZFjjGgGUA6NLw09EwE0CqkOc4q9oUmW1yo/edit?usp=sharing"",""แพร่!J291"")"),100)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IFERROR(__xludf.DUMMYFUNCTION("IMPORTRANGE(""https://docs.google.com/spreadsheets/d/11923uPwbBZFjjGgGUA6NLw09EwE0CqkOc4q9oUmW1yo/edit?usp=sharing"",""แพร่!I292"")"),1000)</f>
        <v>1000</v>
      </c>
      <c r="J397" s="197">
        <f ca="1">IFERROR(__xludf.DUMMYFUNCTION("IMPORTRANGE(""https://docs.google.com/spreadsheets/d/11923uPwbBZFjjGgGUA6NLw09EwE0CqkOc4q9oUmW1yo/edit?usp=sharing"",""แพร่!J292"")"),1000)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IFERROR(__xludf.DUMMYFUNCTION("IMPORTRANGE(""https://docs.google.com/spreadsheets/d/11923uPwbBZFjjGgGUA6NLw09EwE0CqkOc4q9oUmW1yo/edit?usp=sharing"",""แพร่!I293"")"),100)</f>
        <v>100</v>
      </c>
      <c r="J398" s="197">
        <f ca="1">IFERROR(__xludf.DUMMYFUNCTION("IMPORTRANGE(""https://docs.google.com/spreadsheets/d/11923uPwbBZFjjGgGUA6NLw09EwE0CqkOc4q9oUmW1yo/edit?usp=sharing"",""แพร่!J293"")"),0)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IFERROR(__xludf.DUMMYFUNCTION("IMPORTRANGE(""https://docs.google.com/spreadsheets/d/11923uPwbBZFjjGgGUA6NLw09EwE0CqkOc4q9oUmW1yo/edit?usp=sharing"",""แพร่!J294"")"),0)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IFERROR(__xludf.DUMMYFUNCTION("IMPORTRANGE(""https://docs.google.com/spreadsheets/d/11923uPwbBZFjjGgGUA6NLw09EwE0CqkOc4q9oUmW1yo/edit?usp=sharing"",""แพร่!J295"")"),0)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IFERROR(__xludf.DUMMYFUNCTION("IMPORTRANGE(""https://docs.google.com/spreadsheets/d/11923uPwbBZFjjGgGUA6NLw09EwE0CqkOc4q9oUmW1yo/edit?usp=sharing"",""แพร่!I296"")"),120)</f>
        <v>120</v>
      </c>
      <c r="J401" s="370">
        <f ca="1">IFERROR(__xludf.DUMMYFUNCTION("IMPORTRANGE(""https://docs.google.com/spreadsheets/d/11923uPwbBZFjjGgGUA6NLw09EwE0CqkOc4q9oUmW1yo/edit?usp=sharing"",""แพร่!J296"")"),120)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IFERROR(__xludf.DUMMYFUNCTION("IMPORTRANGE(""https://docs.google.com/spreadsheets/d/11923uPwbBZFjjGgGUA6NLw09EwE0CqkOc4q9oUmW1yo/edit?usp=sharing"",""แพร่!L296"")"),135020)</f>
        <v>135020</v>
      </c>
      <c r="M401" s="372"/>
      <c r="N401" s="372">
        <f ca="1">IFERROR(__xludf.DUMMYFUNCTION("IMPORTRANGE(""https://docs.google.com/spreadsheets/d/11923uPwbBZFjjGgGUA6NLw09EwE0CqkOc4q9oUmW1yo/edit?usp=sharing"",""แพร่!M296"")"),97945)</f>
        <v>97945</v>
      </c>
      <c r="O401" s="372">
        <f ca="1">+IF(L401&gt;0,N401*100/L401,0)</f>
        <v>72.541105021478302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IFERROR(__xludf.DUMMYFUNCTION("IMPORTRANGE(""https://docs.google.com/spreadsheets/d/11923uPwbBZFjjGgGUA6NLw09EwE0CqkOc4q9oUmW1yo/edit?usp=sharing"",""แพร่!I297"")"),40)</f>
        <v>40</v>
      </c>
      <c r="J402" s="370">
        <f ca="1">IFERROR(__xludf.DUMMYFUNCTION("IMPORTRANGE(""https://docs.google.com/spreadsheets/d/11923uPwbBZFjjGgGUA6NLw09EwE0CqkOc4q9oUmW1yo/edit?usp=sharing"",""แพร่!J297"")"),40)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IFERROR(__xludf.DUMMYFUNCTION("IMPORTRANGE(""https://docs.google.com/spreadsheets/d/11923uPwbBZFjjGgGUA6NLw09EwE0CqkOc4q9oUmW1yo/edit?usp=sharing"",""แพร่!L298"")"),0)</f>
        <v>0</v>
      </c>
      <c r="M403" s="164"/>
      <c r="N403" s="168">
        <f ca="1">IFERROR(__xludf.DUMMYFUNCTION("IMPORTRANGE(""https://docs.google.com/spreadsheets/d/11923uPwbBZFjjGgGUA6NLw09EwE0CqkOc4q9oUmW1yo/edit?usp=sharing"",""แพร่!M298"")"),0)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IFERROR(__xludf.DUMMYFUNCTION("IMPORTRANGE(""https://docs.google.com/spreadsheets/d/11923uPwbBZFjjGgGUA6NLw09EwE0CqkOc4q9oUmW1yo/edit?usp=sharing"",""แพร่!L299"")"),135020)</f>
        <v>135020</v>
      </c>
      <c r="M404" s="165"/>
      <c r="N404" s="168">
        <f ca="1">IFERROR(__xludf.DUMMYFUNCTION("IMPORTRANGE(""https://docs.google.com/spreadsheets/d/11923uPwbBZFjjGgGUA6NLw09EwE0CqkOc4q9oUmW1yo/edit?usp=sharing"",""แพร่!M299"")"),97945)</f>
        <v>97945</v>
      </c>
      <c r="O404" s="168">
        <f t="shared" ca="1" si="112"/>
        <v>72.541105021478302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IFERROR(__xludf.DUMMYFUNCTION("IMPORTRANGE(""https://docs.google.com/spreadsheets/d/11923uPwbBZFjjGgGUA6NLw09EwE0CqkOc4q9oUmW1yo/edit?usp=sharing"",""แพร่!L300"")"),0)</f>
        <v>0</v>
      </c>
      <c r="M405" s="168"/>
      <c r="N405" s="168">
        <f ca="1">IFERROR(__xludf.DUMMYFUNCTION("IMPORTRANGE(""https://docs.google.com/spreadsheets/d/11923uPwbBZFjjGgGUA6NLw09EwE0CqkOc4q9oUmW1yo/edit?usp=sharing"",""แพร่!M300"")"),0)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IFERROR(__xludf.DUMMYFUNCTION("IMPORTRANGE(""https://docs.google.com/spreadsheets/d/11923uPwbBZFjjGgGUA6NLw09EwE0CqkOc4q9oUmW1yo/edit?usp=sharing"",""แพร่!L301"")"),135020)</f>
        <v>135020</v>
      </c>
      <c r="M406" s="168"/>
      <c r="N406" s="168">
        <f ca="1">IFERROR(__xludf.DUMMYFUNCTION("IMPORTRANGE(""https://docs.google.com/spreadsheets/d/11923uPwbBZFjjGgGUA6NLw09EwE0CqkOc4q9oUmW1yo/edit?usp=sharing"",""แพร่!M301"")"),97945)</f>
        <v>97945</v>
      </c>
      <c r="O406" s="168">
        <f t="shared" ca="1" si="112"/>
        <v>72.541105021478302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IFERROR(__xludf.DUMMYFUNCTION("IMPORTRANGE(""https://docs.google.com/spreadsheets/d/11923uPwbBZFjjGgGUA6NLw09EwE0CqkOc4q9oUmW1yo/edit?usp=sharing"",""แพร่!M302"")"),75840)</f>
        <v>75840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IFERROR(__xludf.DUMMYFUNCTION("IMPORTRANGE(""https://docs.google.com/spreadsheets/d/11923uPwbBZFjjGgGUA6NLw09EwE0CqkOc4q9oUmW1yo/edit?usp=sharing"",""แพร่!M303"")"),0)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IFERROR(__xludf.DUMMYFUNCTION("IMPORTRANGE(""https://docs.google.com/spreadsheets/d/11923uPwbBZFjjGgGUA6NLw09EwE0CqkOc4q9oUmW1yo/edit?usp=sharing"",""แพร่!M304"")"),0)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IFERROR(__xludf.DUMMYFUNCTION("IMPORTRANGE(""https://docs.google.com/spreadsheets/d/11923uPwbBZFjjGgGUA6NLw09EwE0CqkOc4q9oUmW1yo/edit?usp=sharing"",""แพร่!M305"")"),22105)</f>
        <v>22105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IFERROR(__xludf.DUMMYFUNCTION("IMPORTRANGE(""https://docs.google.com/spreadsheets/d/11923uPwbBZFjjGgGUA6NLw09EwE0CqkOc4q9oUmW1yo/edit?usp=sharing"",""แพร่!J307"")"),0)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IFERROR(__xludf.DUMMYFUNCTION("IMPORTRANGE(""https://docs.google.com/spreadsheets/d/11923uPwbBZFjjGgGUA6NLw09EwE0CqkOc4q9oUmW1yo/edit?usp=sharing"",""แพร่!J308"")"),1)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IFERROR(__xludf.DUMMYFUNCTION("IMPORTRANGE(""https://docs.google.com/spreadsheets/d/11923uPwbBZFjjGgGUA6NLw09EwE0CqkOc4q9oUmW1yo/edit?usp=sharing"",""แพร่!J309"")"),1)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IFERROR(__xludf.DUMMYFUNCTION("IMPORTRANGE(""https://docs.google.com/spreadsheets/d/11923uPwbBZFjjGgGUA6NLw09EwE0CqkOc4q9oUmW1yo/edit?usp=sharing"",""แพร่!J310"")"),1)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IFERROR(__xludf.DUMMYFUNCTION("IMPORTRANGE(""https://docs.google.com/spreadsheets/d/11923uPwbBZFjjGgGUA6NLw09EwE0CqkOc4q9oUmW1yo/edit?usp=sharing"",""แพร่!I311"")"),40)</f>
        <v>40</v>
      </c>
      <c r="J416" s="200">
        <f ca="1">IFERROR(__xludf.DUMMYFUNCTION("IMPORTRANGE(""https://docs.google.com/spreadsheets/d/11923uPwbBZFjjGgGUA6NLw09EwE0CqkOc4q9oUmW1yo/edit?usp=sharing"",""แพร่!J311"")"),40)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IFERROR(__xludf.DUMMYFUNCTION("IMPORTRANGE(""https://docs.google.com/spreadsheets/d/11923uPwbBZFjjGgGUA6NLw09EwE0CqkOc4q9oUmW1yo/edit?usp=sharing"",""แพร่!I312"")"),10)</f>
        <v>10</v>
      </c>
      <c r="J417" s="391">
        <f ca="1">IFERROR(__xludf.DUMMYFUNCTION("IMPORTRANGE(""https://docs.google.com/spreadsheets/d/11923uPwbBZFjjGgGUA6NLw09EwE0CqkOc4q9oUmW1yo/edit?usp=sharing"",""แพร่!J312"")"),10)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IFERROR(__xludf.DUMMYFUNCTION("IMPORTRANGE(""https://docs.google.com/spreadsheets/d/11923uPwbBZFjjGgGUA6NLw09EwE0CqkOc4q9oUmW1yo/edit?usp=sharing"",""แพร่!I313"")"),30)</f>
        <v>30</v>
      </c>
      <c r="J418" s="392">
        <f ca="1">IFERROR(__xludf.DUMMYFUNCTION("IMPORTRANGE(""https://docs.google.com/spreadsheets/d/11923uPwbBZFjjGgGUA6NLw09EwE0CqkOc4q9oUmW1yo/edit?usp=sharing"",""แพร่!J313"")"),30)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IFERROR(__xludf.DUMMYFUNCTION("IMPORTRANGE(""https://docs.google.com/spreadsheets/d/11923uPwbBZFjjGgGUA6NLw09EwE0CqkOc4q9oUmW1yo/edit?usp=sharing"",""แพร่!I314"")"),10)</f>
        <v>10</v>
      </c>
      <c r="J419" s="393">
        <f ca="1">IFERROR(__xludf.DUMMYFUNCTION("IMPORTRANGE(""https://docs.google.com/spreadsheets/d/11923uPwbBZFjjGgGUA6NLw09EwE0CqkOc4q9oUmW1yo/edit?usp=sharing"",""แพร่!J314"")"),10)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IFERROR(__xludf.DUMMYFUNCTION("IMPORTRANGE(""https://docs.google.com/spreadsheets/d/11923uPwbBZFjjGgGUA6NLw09EwE0CqkOc4q9oUmW1yo/edit?usp=sharing"",""แพร่!I315"")"),10)</f>
        <v>10</v>
      </c>
      <c r="J420" s="393">
        <f ca="1">IFERROR(__xludf.DUMMYFUNCTION("IMPORTRANGE(""https://docs.google.com/spreadsheets/d/11923uPwbBZFjjGgGUA6NLw09EwE0CqkOc4q9oUmW1yo/edit?usp=sharing"",""แพร่!J315"")"),10)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IFERROR(__xludf.DUMMYFUNCTION("IMPORTRANGE(""https://docs.google.com/spreadsheets/d/11923uPwbBZFjjGgGUA6NLw09EwE0CqkOc4q9oUmW1yo/edit?usp=sharing"",""แพร่!I316"")"),14)</f>
        <v>14</v>
      </c>
      <c r="J421" s="391">
        <f ca="1">IFERROR(__xludf.DUMMYFUNCTION("IMPORTRANGE(""https://docs.google.com/spreadsheets/d/11923uPwbBZFjjGgGUA6NLw09EwE0CqkOc4q9oUmW1yo/edit?usp=sharing"",""แพร่!J316"")"),14)</f>
        <v>14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IFERROR(__xludf.DUMMYFUNCTION("IMPORTRANGE(""https://docs.google.com/spreadsheets/d/11923uPwbBZFjjGgGUA6NLw09EwE0CqkOc4q9oUmW1yo/edit?usp=sharing"",""แพร่!I317"")"),42)</f>
        <v>42</v>
      </c>
      <c r="J422" s="392">
        <f ca="1">IFERROR(__xludf.DUMMYFUNCTION("IMPORTRANGE(""https://docs.google.com/spreadsheets/d/11923uPwbBZFjjGgGUA6NLw09EwE0CqkOc4q9oUmW1yo/edit?usp=sharing"",""แพร่!J317"")"),42)</f>
        <v>42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IFERROR(__xludf.DUMMYFUNCTION("IMPORTRANGE(""https://docs.google.com/spreadsheets/d/11923uPwbBZFjjGgGUA6NLw09EwE0CqkOc4q9oUmW1yo/edit?usp=sharing"",""แพร่!I318"")"),14)</f>
        <v>14</v>
      </c>
      <c r="J423" s="393">
        <f ca="1">IFERROR(__xludf.DUMMYFUNCTION("IMPORTRANGE(""https://docs.google.com/spreadsheets/d/11923uPwbBZFjjGgGUA6NLw09EwE0CqkOc4q9oUmW1yo/edit?usp=sharing"",""แพร่!J318"")"),14)</f>
        <v>14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IFERROR(__xludf.DUMMYFUNCTION("IMPORTRANGE(""https://docs.google.com/spreadsheets/d/11923uPwbBZFjjGgGUA6NLw09EwE0CqkOc4q9oUmW1yo/edit?usp=sharing"",""แพร่!I319"")"),14)</f>
        <v>14</v>
      </c>
      <c r="J424" s="393">
        <f ca="1">IFERROR(__xludf.DUMMYFUNCTION("IMPORTRANGE(""https://docs.google.com/spreadsheets/d/11923uPwbBZFjjGgGUA6NLw09EwE0CqkOc4q9oUmW1yo/edit?usp=sharing"",""แพร่!J319"")"),14)</f>
        <v>14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IFERROR(__xludf.DUMMYFUNCTION("IMPORTRANGE(""https://docs.google.com/spreadsheets/d/11923uPwbBZFjjGgGUA6NLw09EwE0CqkOc4q9oUmW1yo/edit?usp=sharing"",""แพร่!I320"")"),14)</f>
        <v>14</v>
      </c>
      <c r="J425" s="393">
        <f ca="1">IFERROR(__xludf.DUMMYFUNCTION("IMPORTRANGE(""https://docs.google.com/spreadsheets/d/11923uPwbBZFjjGgGUA6NLw09EwE0CqkOc4q9oUmW1yo/edit?usp=sharing"",""แพร่!J320"")"),14)</f>
        <v>14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IFERROR(__xludf.DUMMYFUNCTION("IMPORTRANGE(""https://docs.google.com/spreadsheets/d/11923uPwbBZFjjGgGUA6NLw09EwE0CqkOc4q9oUmW1yo/edit?usp=sharing"",""แพร่!I321"")"),16)</f>
        <v>16</v>
      </c>
      <c r="J426" s="391">
        <f ca="1">IFERROR(__xludf.DUMMYFUNCTION("IMPORTRANGE(""https://docs.google.com/spreadsheets/d/11923uPwbBZFjjGgGUA6NLw09EwE0CqkOc4q9oUmW1yo/edit?usp=sharing"",""แพร่!J321"")"),16)</f>
        <v>16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IFERROR(__xludf.DUMMYFUNCTION("IMPORTRANGE(""https://docs.google.com/spreadsheets/d/11923uPwbBZFjjGgGUA6NLw09EwE0CqkOc4q9oUmW1yo/edit?usp=sharing"",""แพร่!I322"")"),48)</f>
        <v>48</v>
      </c>
      <c r="J427" s="392">
        <f ca="1">IFERROR(__xludf.DUMMYFUNCTION("IMPORTRANGE(""https://docs.google.com/spreadsheets/d/11923uPwbBZFjjGgGUA6NLw09EwE0CqkOc4q9oUmW1yo/edit?usp=sharing"",""แพร่!J322"")"),48)</f>
        <v>48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IFERROR(__xludf.DUMMYFUNCTION("IMPORTRANGE(""https://docs.google.com/spreadsheets/d/11923uPwbBZFjjGgGUA6NLw09EwE0CqkOc4q9oUmW1yo/edit?usp=sharing"",""แพร่!I323"")"),16)</f>
        <v>16</v>
      </c>
      <c r="J428" s="393">
        <f ca="1">IFERROR(__xludf.DUMMYFUNCTION("IMPORTRANGE(""https://docs.google.com/spreadsheets/d/11923uPwbBZFjjGgGUA6NLw09EwE0CqkOc4q9oUmW1yo/edit?usp=sharing"",""แพร่!J323"")"),16)</f>
        <v>16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IFERROR(__xludf.DUMMYFUNCTION("IMPORTRANGE(""https://docs.google.com/spreadsheets/d/11923uPwbBZFjjGgGUA6NLw09EwE0CqkOc4q9oUmW1yo/edit?usp=sharing"",""แพร่!I324"")"),16)</f>
        <v>16</v>
      </c>
      <c r="J429" s="393">
        <f ca="1">IFERROR(__xludf.DUMMYFUNCTION("IMPORTRANGE(""https://docs.google.com/spreadsheets/d/11923uPwbBZFjjGgGUA6NLw09EwE0CqkOc4q9oUmW1yo/edit?usp=sharing"",""แพร่!J324"")"),16)</f>
        <v>16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IFERROR(__xludf.DUMMYFUNCTION("IMPORTRANGE(""https://docs.google.com/spreadsheets/d/11923uPwbBZFjjGgGUA6NLw09EwE0CqkOc4q9oUmW1yo/edit?usp=sharing"",""แพร่!I325"")"),24)</f>
        <v>24</v>
      </c>
      <c r="J430" s="391">
        <f ca="1">IFERROR(__xludf.DUMMYFUNCTION("IMPORTRANGE(""https://docs.google.com/spreadsheets/d/11923uPwbBZFjjGgGUA6NLw09EwE0CqkOc4q9oUmW1yo/edit?usp=sharing"",""แพร่!J325"")"),24)</f>
        <v>24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IFERROR(__xludf.DUMMYFUNCTION("IMPORTRANGE(""https://docs.google.com/spreadsheets/d/11923uPwbBZFjjGgGUA6NLw09EwE0CqkOc4q9oUmW1yo/edit?usp=sharing"",""แพร่!I326"")"),10)</f>
        <v>10</v>
      </c>
      <c r="J431" s="393">
        <f ca="1">IFERROR(__xludf.DUMMYFUNCTION("IMPORTRANGE(""https://docs.google.com/spreadsheets/d/11923uPwbBZFjjGgGUA6NLw09EwE0CqkOc4q9oUmW1yo/edit?usp=sharing"",""แพร่!J326"")"),10)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IFERROR(__xludf.DUMMYFUNCTION("IMPORTRANGE(""https://docs.google.com/spreadsheets/d/11923uPwbBZFjjGgGUA6NLw09EwE0CqkOc4q9oUmW1yo/edit?usp=sharing"",""แพร่!I327"")"),14)</f>
        <v>14</v>
      </c>
      <c r="J432" s="393">
        <f ca="1">IFERROR(__xludf.DUMMYFUNCTION("IMPORTRANGE(""https://docs.google.com/spreadsheets/d/11923uPwbBZFjjGgGUA6NLw09EwE0CqkOc4q9oUmW1yo/edit?usp=sharing"",""แพร่!J327"")"),14)</f>
        <v>14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IFERROR(__xludf.DUMMYFUNCTION("IMPORTRANGE(""https://docs.google.com/spreadsheets/d/11923uPwbBZFjjGgGUA6NLw09EwE0CqkOc4q9oUmW1yo/edit?usp=sharing"",""แพร่!J328"")"),0)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IFERROR(__xludf.DUMMYFUNCTION("IMPORTRANGE(""https://docs.google.com/spreadsheets/d/11923uPwbBZFjjGgGUA6NLw09EwE0CqkOc4q9oUmW1yo/edit?usp=sharing"",""แพร่!J329"")"),0)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IFERROR(__xludf.DUMMYFUNCTION("IMPORTRANGE(""https://docs.google.com/spreadsheets/d/11923uPwbBZFjjGgGUA6NLw09EwE0CqkOc4q9oUmW1yo/edit?usp=sharing"",""แพร่!I330"")"),20)</f>
        <v>20</v>
      </c>
      <c r="J435" s="409">
        <f ca="1">IFERROR(__xludf.DUMMYFUNCTION("IMPORTRANGE(""https://docs.google.com/spreadsheets/d/11923uPwbBZFjjGgGUA6NLw09EwE0CqkOc4q9oUmW1yo/edit?usp=sharing"",""แพร่!J330"")"),20)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IFERROR(__xludf.DUMMYFUNCTION("IMPORTRANGE(""https://docs.google.com/spreadsheets/d/11923uPwbBZFjjGgGUA6NLw09EwE0CqkOc4q9oUmW1yo/edit?usp=sharing"",""แพร่!L330"")"),100000)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IFERROR(__xludf.DUMMYFUNCTION("IMPORTRANGE(""https://docs.google.com/spreadsheets/d/11923uPwbBZFjjGgGUA6NLw09EwE0CqkOc4q9oUmW1yo/edit?usp=sharing"",""แพร่!M330"")"),100000)</f>
        <v>100000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IFERROR(__xludf.DUMMYFUNCTION("IMPORTRANGE(""https://docs.google.com/spreadsheets/d/11923uPwbBZFjjGgGUA6NLw09EwE0CqkOc4q9oUmW1yo/edit?usp=sharing"",""แพร่!L331"")"),0)</f>
        <v>0</v>
      </c>
      <c r="M436" s="164"/>
      <c r="N436" s="168">
        <f ca="1">IFERROR(__xludf.DUMMYFUNCTION("IMPORTRANGE(""https://docs.google.com/spreadsheets/d/11923uPwbBZFjjGgGUA6NLw09EwE0CqkOc4q9oUmW1yo/edit?usp=sharing"",""แพร่!M331"")"),0)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IFERROR(__xludf.DUMMYFUNCTION("IMPORTRANGE(""https://docs.google.com/spreadsheets/d/11923uPwbBZFjjGgGUA6NLw09EwE0CqkOc4q9oUmW1yo/edit?usp=sharing"",""แพร่!L332"")"),100000)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IFERROR(__xludf.DUMMYFUNCTION("IMPORTRANGE(""https://docs.google.com/spreadsheets/d/11923uPwbBZFjjGgGUA6NLw09EwE0CqkOc4q9oUmW1yo/edit?usp=sharing"",""แพร่!M332"")"),100000)</f>
        <v>100000</v>
      </c>
      <c r="O437" s="168">
        <f t="shared" ca="1" si="114"/>
        <v>100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IFERROR(__xludf.DUMMYFUNCTION("IMPORTRANGE(""https://docs.google.com/spreadsheets/d/11923uPwbBZFjjGgGUA6NLw09EwE0CqkOc4q9oUmW1yo/edit?usp=sharing"",""แพร่!L333"")"),0)</f>
        <v>0</v>
      </c>
      <c r="M438" s="168"/>
      <c r="N438" s="168">
        <f ca="1">IFERROR(__xludf.DUMMYFUNCTION("IMPORTRANGE(""https://docs.google.com/spreadsheets/d/11923uPwbBZFjjGgGUA6NLw09EwE0CqkOc4q9oUmW1yo/edit?usp=sharing"",""แพร่!M333"")"),0)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IFERROR(__xludf.DUMMYFUNCTION("IMPORTRANGE(""https://docs.google.com/spreadsheets/d/11923uPwbBZFjjGgGUA6NLw09EwE0CqkOc4q9oUmW1yo/edit?usp=sharing"",""แพร่!L334"")"),100000)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IFERROR(__xludf.DUMMYFUNCTION("IMPORTRANGE(""https://docs.google.com/spreadsheets/d/11923uPwbBZFjjGgGUA6NLw09EwE0CqkOc4q9oUmW1yo/edit?usp=sharing"",""แพร่!M334"")"),100000)</f>
        <v>100000</v>
      </c>
      <c r="O439" s="168">
        <f t="shared" ca="1" si="114"/>
        <v>100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IFERROR(__xludf.DUMMYFUNCTION("IMPORTRANGE(""https://docs.google.com/spreadsheets/d/11923uPwbBZFjjGgGUA6NLw09EwE0CqkOc4q9oUmW1yo/edit?usp=sharing"",""แพร่!M335"")"),96651)</f>
        <v>96651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IFERROR(__xludf.DUMMYFUNCTION("IMPORTRANGE(""https://docs.google.com/spreadsheets/d/11923uPwbBZFjjGgGUA6NLw09EwE0CqkOc4q9oUmW1yo/edit?usp=sharing"",""แพร่!M336"")"),0)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IFERROR(__xludf.DUMMYFUNCTION("IMPORTRANGE(""https://docs.google.com/spreadsheets/d/11923uPwbBZFjjGgGUA6NLw09EwE0CqkOc4q9oUmW1yo/edit?usp=sharing"",""แพร่!M337"")"),0)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IFERROR(__xludf.DUMMYFUNCTION("IMPORTRANGE(""https://docs.google.com/spreadsheets/d/11923uPwbBZFjjGgGUA6NLw09EwE0CqkOc4q9oUmW1yo/edit?usp=sharing"",""แพร่!M338"")"),3349)</f>
        <v>3349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IFERROR(__xludf.DUMMYFUNCTION("IMPORTRANGE(""https://docs.google.com/spreadsheets/d/11923uPwbBZFjjGgGUA6NLw09EwE0CqkOc4q9oUmW1yo/edit?usp=sharing"",""แพร่!J340"")"),0)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IFERROR(__xludf.DUMMYFUNCTION("IMPORTRANGE(""https://docs.google.com/spreadsheets/d/11923uPwbBZFjjGgGUA6NLw09EwE0CqkOc4q9oUmW1yo/edit?usp=sharing"",""แพร่!J341"")"),1)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IFERROR(__xludf.DUMMYFUNCTION("IMPORTRANGE(""https://docs.google.com/spreadsheets/d/11923uPwbBZFjjGgGUA6NLw09EwE0CqkOc4q9oUmW1yo/edit?usp=sharing"",""แพร่!J342"")"),1)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IFERROR(__xludf.DUMMYFUNCTION("IMPORTRANGE(""https://docs.google.com/spreadsheets/d/11923uPwbBZFjjGgGUA6NLw09EwE0CqkOc4q9oUmW1yo/edit?usp=sharing"",""แพร่!J343"")"),1)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IFERROR(__xludf.DUMMYFUNCTION("IMPORTRANGE(""https://docs.google.com/spreadsheets/d/11923uPwbBZFjjGgGUA6NLw09EwE0CqkOc4q9oUmW1yo/edit?usp=sharing"",""แพร่!I344"")"),20)</f>
        <v>20</v>
      </c>
      <c r="J449" s="200">
        <f ca="1">IFERROR(__xludf.DUMMYFUNCTION("IMPORTRANGE(""https://docs.google.com/spreadsheets/d/11923uPwbBZFjjGgGUA6NLw09EwE0CqkOc4q9oUmW1yo/edit?usp=sharing"",""แพร่!J344"")"),20)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IFERROR(__xludf.DUMMYFUNCTION("IMPORTRANGE(""https://docs.google.com/spreadsheets/d/11923uPwbBZFjjGgGUA6NLw09EwE0CqkOc4q9oUmW1yo/edit?usp=sharing"",""แพร่!I345"")"),20)</f>
        <v>20</v>
      </c>
      <c r="J450" s="188">
        <f ca="1">IFERROR(__xludf.DUMMYFUNCTION("IMPORTRANGE(""https://docs.google.com/spreadsheets/d/11923uPwbBZFjjGgGUA6NLw09EwE0CqkOc4q9oUmW1yo/edit?usp=sharing"",""แพร่!J345"")"),20)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IFERROR(__xludf.DUMMYFUNCTION("IMPORTRANGE(""https://docs.google.com/spreadsheets/d/11923uPwbBZFjjGgGUA6NLw09EwE0CqkOc4q9oUmW1yo/edit?usp=sharing"",""แพร่!I346"")"),0)</f>
        <v>0</v>
      </c>
      <c r="J451" s="187">
        <f ca="1">IFERROR(__xludf.DUMMYFUNCTION("IMPORTRANGE(""https://docs.google.com/spreadsheets/d/11923uPwbBZFjjGgGUA6NLw09EwE0CqkOc4q9oUmW1yo/edit?usp=sharing"",""แพร่!J346"")"),0)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IFERROR(__xludf.DUMMYFUNCTION("IMPORTRANGE(""https://docs.google.com/spreadsheets/d/11923uPwbBZFjjGgGUA6NLw09EwE0CqkOc4q9oUmW1yo/edit?usp=sharing"",""แพร่!I347"")"),0)</f>
        <v>0</v>
      </c>
      <c r="J452" s="187">
        <f ca="1">IFERROR(__xludf.DUMMYFUNCTION("IMPORTRANGE(""https://docs.google.com/spreadsheets/d/11923uPwbBZFjjGgGUA6NLw09EwE0CqkOc4q9oUmW1yo/edit?usp=sharing"",""แพร่!J347"")"),0)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IFERROR(__xludf.DUMMYFUNCTION("IMPORTRANGE(""https://docs.google.com/spreadsheets/d/11923uPwbBZFjjGgGUA6NLw09EwE0CqkOc4q9oUmW1yo/edit?usp=sharing"",""แพร่!J348"")"),0)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IFERROR(__xludf.DUMMYFUNCTION("IMPORTRANGE(""https://docs.google.com/spreadsheets/d/11923uPwbBZFjjGgGUA6NLw09EwE0CqkOc4q9oUmW1yo/edit?usp=sharing"",""แพร่!J349"")"),0)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IFERROR(__xludf.DUMMYFUNCTION("IMPORTRANGE(""https://docs.google.com/spreadsheets/d/11923uPwbBZFjjGgGUA6NLw09EwE0CqkOc4q9oUmW1yo/edit?usp=sharing"",""แพร่!I350"")"),5092)</f>
        <v>5092</v>
      </c>
      <c r="J455" s="370">
        <f ca="1">IFERROR(__xludf.DUMMYFUNCTION("IMPORTRANGE(""https://docs.google.com/spreadsheets/d/11923uPwbBZFjjGgGUA6NLw09EwE0CqkOc4q9oUmW1yo/edit?usp=sharing"",""แพร่!J350"")"),5092)</f>
        <v>5092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IFERROR(__xludf.DUMMYFUNCTION("IMPORTRANGE(""https://docs.google.com/spreadsheets/d/11923uPwbBZFjjGgGUA6NLw09EwE0CqkOc4q9oUmW1yo/edit?usp=sharing"",""แพร่!L350"")"),88520)</f>
        <v>88520</v>
      </c>
      <c r="M455" s="372"/>
      <c r="N455" s="372">
        <f ca="1">IFERROR(__xludf.DUMMYFUNCTION("IMPORTRANGE(""https://docs.google.com/spreadsheets/d/11923uPwbBZFjjGgGUA6NLw09EwE0CqkOc4q9oUmW1yo/edit?usp=sharing"",""แพร่!M350"")"),43165)</f>
        <v>43165</v>
      </c>
      <c r="O455" s="372">
        <f t="shared" ref="O455:O459" ca="1" si="116">+IF(L455&gt;0,N455*100/L455,0)</f>
        <v>48.762991414369637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IFERROR(__xludf.DUMMYFUNCTION("IMPORTRANGE(""https://docs.google.com/spreadsheets/d/11923uPwbBZFjjGgGUA6NLw09EwE0CqkOc4q9oUmW1yo/edit?usp=sharing"",""แพร่!L351"")"),0)</f>
        <v>0</v>
      </c>
      <c r="M456" s="164"/>
      <c r="N456" s="168">
        <f ca="1">IFERROR(__xludf.DUMMYFUNCTION("IMPORTRANGE(""https://docs.google.com/spreadsheets/d/11923uPwbBZFjjGgGUA6NLw09EwE0CqkOc4q9oUmW1yo/edit?usp=sharing"",""แพร่!M351"")"),0)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IFERROR(__xludf.DUMMYFUNCTION("IMPORTRANGE(""https://docs.google.com/spreadsheets/d/11923uPwbBZFjjGgGUA6NLw09EwE0CqkOc4q9oUmW1yo/edit?usp=sharing"",""แพร่!L352"")"),88520)</f>
        <v>88520</v>
      </c>
      <c r="M457" s="165"/>
      <c r="N457" s="168">
        <f ca="1">IFERROR(__xludf.DUMMYFUNCTION("IMPORTRANGE(""https://docs.google.com/spreadsheets/d/11923uPwbBZFjjGgGUA6NLw09EwE0CqkOc4q9oUmW1yo/edit?usp=sharing"",""แพร่!M352"")"),43165)</f>
        <v>43165</v>
      </c>
      <c r="O457" s="168">
        <f t="shared" ca="1" si="116"/>
        <v>48.762991414369637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IFERROR(__xludf.DUMMYFUNCTION("IMPORTRANGE(""https://docs.google.com/spreadsheets/d/11923uPwbBZFjjGgGUA6NLw09EwE0CqkOc4q9oUmW1yo/edit?usp=sharing"",""แพร่!L353"")"),0)</f>
        <v>0</v>
      </c>
      <c r="M458" s="168"/>
      <c r="N458" s="168">
        <f ca="1">IFERROR(__xludf.DUMMYFUNCTION("IMPORTRANGE(""https://docs.google.com/spreadsheets/d/11923uPwbBZFjjGgGUA6NLw09EwE0CqkOc4q9oUmW1yo/edit?usp=sharing"",""แพร่!M353"")"),0)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IFERROR(__xludf.DUMMYFUNCTION("IMPORTRANGE(""https://docs.google.com/spreadsheets/d/11923uPwbBZFjjGgGUA6NLw09EwE0CqkOc4q9oUmW1yo/edit?usp=sharing"",""แพร่!L354"")"),88520)</f>
        <v>88520</v>
      </c>
      <c r="M459" s="168"/>
      <c r="N459" s="168">
        <f ca="1">IFERROR(__xludf.DUMMYFUNCTION("IMPORTRANGE(""https://docs.google.com/spreadsheets/d/11923uPwbBZFjjGgGUA6NLw09EwE0CqkOc4q9oUmW1yo/edit?usp=sharing"",""แพร่!M354"")"),43165)</f>
        <v>43165</v>
      </c>
      <c r="O459" s="168">
        <f t="shared" ca="1" si="116"/>
        <v>48.762991414369637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IFERROR(__xludf.DUMMYFUNCTION("IMPORTRANGE(""https://docs.google.com/spreadsheets/d/11923uPwbBZFjjGgGUA6NLw09EwE0CqkOc4q9oUmW1yo/edit?usp=sharing"",""แพร่!M355"")"),0)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IFERROR(__xludf.DUMMYFUNCTION("IMPORTRANGE(""https://docs.google.com/spreadsheets/d/11923uPwbBZFjjGgGUA6NLw09EwE0CqkOc4q9oUmW1yo/edit?usp=sharing"",""แพร่!M356"")"),0)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IFERROR(__xludf.DUMMYFUNCTION("IMPORTRANGE(""https://docs.google.com/spreadsheets/d/11923uPwbBZFjjGgGUA6NLw09EwE0CqkOc4q9oUmW1yo/edit?usp=sharing"",""แพร่!M357"")"),0)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IFERROR(__xludf.DUMMYFUNCTION("IMPORTRANGE(""https://docs.google.com/spreadsheets/d/11923uPwbBZFjjGgGUA6NLw09EwE0CqkOc4q9oUmW1yo/edit?usp=sharing"",""แพร่!M358"")"),43165)</f>
        <v>43165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IFERROR(__xludf.DUMMYFUNCTION("IMPORTRANGE(""https://docs.google.com/spreadsheets/d/11923uPwbBZFjjGgGUA6NLw09EwE0CqkOc4q9oUmW1yo/edit?usp=sharing"",""แพร่!I359"")"),5092)</f>
        <v>5092</v>
      </c>
      <c r="J464" s="267">
        <f ca="1">IFERROR(__xludf.DUMMYFUNCTION("IMPORTRANGE(""https://docs.google.com/spreadsheets/d/11923uPwbBZFjjGgGUA6NLw09EwE0CqkOc4q9oUmW1yo/edit?usp=sharing"",""แพร่!J359"")"),5092)</f>
        <v>5092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IFERROR(__xludf.DUMMYFUNCTION("IMPORTRANGE(""https://docs.google.com/spreadsheets/d/11923uPwbBZFjjGgGUA6NLw09EwE0CqkOc4q9oUmW1yo/edit?usp=sharing"",""แพร่!I360"")"),5092)</f>
        <v>5092</v>
      </c>
      <c r="J465" s="420">
        <f ca="1">IFERROR(__xludf.DUMMYFUNCTION("IMPORTRANGE(""https://docs.google.com/spreadsheets/d/11923uPwbBZFjjGgGUA6NLw09EwE0CqkOc4q9oUmW1yo/edit?usp=sharing"",""แพร่!J360"")"),5091.99)</f>
        <v>5091.99</v>
      </c>
      <c r="K465" s="201">
        <f t="shared" ca="1" si="117"/>
        <v>99.999803613511389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IFERROR(__xludf.DUMMYFUNCTION("IMPORTRANGE(""https://docs.google.com/spreadsheets/d/11923uPwbBZFjjGgGUA6NLw09EwE0CqkOc4q9oUmW1yo/edit?usp=sharing"",""แพร่!I361"")"),1189)</f>
        <v>1189</v>
      </c>
      <c r="J466" s="420">
        <f ca="1">IFERROR(__xludf.DUMMYFUNCTION("IMPORTRANGE(""https://docs.google.com/spreadsheets/d/11923uPwbBZFjjGgGUA6NLw09EwE0CqkOc4q9oUmW1yo/edit?usp=sharing"",""แพร่!J361"")"),1189)</f>
        <v>1189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IFERROR(__xludf.DUMMYFUNCTION("IMPORTRANGE(""https://docs.google.com/spreadsheets/d/11923uPwbBZFjjGgGUA6NLw09EwE0CqkOc4q9oUmW1yo/edit?usp=sharing"",""แพร่!I362"")"),0)</f>
        <v>0</v>
      </c>
      <c r="J467" s="188">
        <f ca="1">IFERROR(__xludf.DUMMYFUNCTION("IMPORTRANGE(""https://docs.google.com/spreadsheets/d/11923uPwbBZFjjGgGUA6NLw09EwE0CqkOc4q9oUmW1yo/edit?usp=sharing"",""แพร่!J362"")"),3692)</f>
        <v>3692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IFERROR(__xludf.DUMMYFUNCTION("IMPORTRANGE(""https://docs.google.com/spreadsheets/d/11923uPwbBZFjjGgGUA6NLw09EwE0CqkOc4q9oUmW1yo/edit?usp=sharing"",""แพร่!I363"")"),0)</f>
        <v>0</v>
      </c>
      <c r="J468" s="188">
        <f ca="1">IFERROR(__xludf.DUMMYFUNCTION("IMPORTRANGE(""https://docs.google.com/spreadsheets/d/11923uPwbBZFjjGgGUA6NLw09EwE0CqkOc4q9oUmW1yo/edit?usp=sharing"",""แพร่!J363"")"),859)</f>
        <v>859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IFERROR(__xludf.DUMMYFUNCTION("IMPORTRANGE(""https://docs.google.com/spreadsheets/d/11923uPwbBZFjjGgGUA6NLw09EwE0CqkOc4q9oUmW1yo/edit?usp=sharing"",""แพร่!I364"")"),0)</f>
        <v>0</v>
      </c>
      <c r="J469" s="188">
        <f ca="1">IFERROR(__xludf.DUMMYFUNCTION("IMPORTRANGE(""https://docs.google.com/spreadsheets/d/11923uPwbBZFjjGgGUA6NLw09EwE0CqkOc4q9oUmW1yo/edit?usp=sharing"",""แพร่!J364"")"),1311)</f>
        <v>1311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IFERROR(__xludf.DUMMYFUNCTION("IMPORTRANGE(""https://docs.google.com/spreadsheets/d/11923uPwbBZFjjGgGUA6NLw09EwE0CqkOc4q9oUmW1yo/edit?usp=sharing"",""แพร่!I365"")"),0)</f>
        <v>0</v>
      </c>
      <c r="J470" s="188">
        <f ca="1">IFERROR(__xludf.DUMMYFUNCTION("IMPORTRANGE(""https://docs.google.com/spreadsheets/d/11923uPwbBZFjjGgGUA6NLw09EwE0CqkOc4q9oUmW1yo/edit?usp=sharing"",""แพร่!J365"")"),308)</f>
        <v>308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IFERROR(__xludf.DUMMYFUNCTION("IMPORTRANGE(""https://docs.google.com/spreadsheets/d/11923uPwbBZFjjGgGUA6NLw09EwE0CqkOc4q9oUmW1yo/edit?usp=sharing"",""แพร่!I366"")"),0)</f>
        <v>0</v>
      </c>
      <c r="J471" s="188">
        <f ca="1">IFERROR(__xludf.DUMMYFUNCTION("IMPORTRANGE(""https://docs.google.com/spreadsheets/d/11923uPwbBZFjjGgGUA6NLw09EwE0CqkOc4q9oUmW1yo/edit?usp=sharing"",""แพร่!J366"")"),88.99)</f>
        <v>88.99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IFERROR(__xludf.DUMMYFUNCTION("IMPORTRANGE(""https://docs.google.com/spreadsheets/d/11923uPwbBZFjjGgGUA6NLw09EwE0CqkOc4q9oUmW1yo/edit?usp=sharing"",""แพร่!I367"")"),0)</f>
        <v>0</v>
      </c>
      <c r="J472" s="188">
        <f ca="1">IFERROR(__xludf.DUMMYFUNCTION("IMPORTRANGE(""https://docs.google.com/spreadsheets/d/11923uPwbBZFjjGgGUA6NLw09EwE0CqkOc4q9oUmW1yo/edit?usp=sharing"",""แพร่!J367"")"),22)</f>
        <v>22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IFERROR(__xludf.DUMMYFUNCTION("IMPORTRANGE(""https://docs.google.com/spreadsheets/d/11923uPwbBZFjjGgGUA6NLw09EwE0CqkOc4q9oUmW1yo/edit?usp=sharing"",""แพร่!I368"")"),5092)</f>
        <v>5092</v>
      </c>
      <c r="J473" s="420">
        <f ca="1">IFERROR(__xludf.DUMMYFUNCTION("IMPORTRANGE(""https://docs.google.com/spreadsheets/d/11923uPwbBZFjjGgGUA6NLw09EwE0CqkOc4q9oUmW1yo/edit?usp=sharing"",""แพร่!J368"")"),5092)</f>
        <v>5092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IFERROR(__xludf.DUMMYFUNCTION("IMPORTRANGE(""https://docs.google.com/spreadsheets/d/11923uPwbBZFjjGgGUA6NLw09EwE0CqkOc4q9oUmW1yo/edit?usp=sharing"",""แพร่!I369"")"),1189)</f>
        <v>1189</v>
      </c>
      <c r="J474" s="420">
        <f ca="1">IFERROR(__xludf.DUMMYFUNCTION("IMPORTRANGE(""https://docs.google.com/spreadsheets/d/11923uPwbBZFjjGgGUA6NLw09EwE0CqkOc4q9oUmW1yo/edit?usp=sharing"",""แพร่!J369"")"),1189)</f>
        <v>1189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IFERROR(__xludf.DUMMYFUNCTION("IMPORTRANGE(""https://docs.google.com/spreadsheets/d/11923uPwbBZFjjGgGUA6NLw09EwE0CqkOc4q9oUmW1yo/edit?usp=sharing"",""แพร่!I370"")"),0)</f>
        <v>0</v>
      </c>
      <c r="J475" s="188">
        <f ca="1">IFERROR(__xludf.DUMMYFUNCTION("IMPORTRANGE(""https://docs.google.com/spreadsheets/d/11923uPwbBZFjjGgGUA6NLw09EwE0CqkOc4q9oUmW1yo/edit?usp=sharing"",""แพร่!J370"")"),3890)</f>
        <v>3890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IFERROR(__xludf.DUMMYFUNCTION("IMPORTRANGE(""https://docs.google.com/spreadsheets/d/11923uPwbBZFjjGgGUA6NLw09EwE0CqkOc4q9oUmW1yo/edit?usp=sharing"",""แพร่!I371"")"),0)</f>
        <v>0</v>
      </c>
      <c r="J476" s="188">
        <f ca="1">IFERROR(__xludf.DUMMYFUNCTION("IMPORTRANGE(""https://docs.google.com/spreadsheets/d/11923uPwbBZFjjGgGUA6NLw09EwE0CqkOc4q9oUmW1yo/edit?usp=sharing"",""แพร่!J371"")"),903)</f>
        <v>903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IFERROR(__xludf.DUMMYFUNCTION("IMPORTRANGE(""https://docs.google.com/spreadsheets/d/11923uPwbBZFjjGgGUA6NLw09EwE0CqkOc4q9oUmW1yo/edit?usp=sharing"",""แพร่!I372"")"),0)</f>
        <v>0</v>
      </c>
      <c r="J477" s="188">
        <f ca="1">IFERROR(__xludf.DUMMYFUNCTION("IMPORTRANGE(""https://docs.google.com/spreadsheets/d/11923uPwbBZFjjGgGUA6NLw09EwE0CqkOc4q9oUmW1yo/edit?usp=sharing"",""แพร่!J372"")"),1089)</f>
        <v>1089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IFERROR(__xludf.DUMMYFUNCTION("IMPORTRANGE(""https://docs.google.com/spreadsheets/d/11923uPwbBZFjjGgGUA6NLw09EwE0CqkOc4q9oUmW1yo/edit?usp=sharing"",""แพร่!I373"")"),0)</f>
        <v>0</v>
      </c>
      <c r="J478" s="188">
        <f ca="1">IFERROR(__xludf.DUMMYFUNCTION("IMPORTRANGE(""https://docs.google.com/spreadsheets/d/11923uPwbBZFjjGgGUA6NLw09EwE0CqkOc4q9oUmW1yo/edit?usp=sharing"",""แพร่!J373"")"),258)</f>
        <v>258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IFERROR(__xludf.DUMMYFUNCTION("IMPORTRANGE(""https://docs.google.com/spreadsheets/d/11923uPwbBZFjjGgGUA6NLw09EwE0CqkOc4q9oUmW1yo/edit?usp=sharing"",""แพร่!I374"")"),0)</f>
        <v>0</v>
      </c>
      <c r="J479" s="188">
        <f ca="1">IFERROR(__xludf.DUMMYFUNCTION("IMPORTRANGE(""https://docs.google.com/spreadsheets/d/11923uPwbBZFjjGgGUA6NLw09EwE0CqkOc4q9oUmW1yo/edit?usp=sharing"",""แพร่!J374"")"),113)</f>
        <v>113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IFERROR(__xludf.DUMMYFUNCTION("IMPORTRANGE(""https://docs.google.com/spreadsheets/d/11923uPwbBZFjjGgGUA6NLw09EwE0CqkOc4q9oUmW1yo/edit?usp=sharing"",""แพร่!I375"")"),0)</f>
        <v>0</v>
      </c>
      <c r="J480" s="188">
        <f ca="1">IFERROR(__xludf.DUMMYFUNCTION("IMPORTRANGE(""https://docs.google.com/spreadsheets/d/11923uPwbBZFjjGgGUA6NLw09EwE0CqkOc4q9oUmW1yo/edit?usp=sharing"",""แพร่!J375"")"),28)</f>
        <v>28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IFERROR(__xludf.DUMMYFUNCTION("IMPORTRANGE(""https://docs.google.com/spreadsheets/d/11923uPwbBZFjjGgGUA6NLw09EwE0CqkOc4q9oUmW1yo/edit?usp=sharing"",""แพร่!I376"")"),5092)</f>
        <v>5092</v>
      </c>
      <c r="J481" s="420">
        <f ca="1">IFERROR(__xludf.DUMMYFUNCTION("IMPORTRANGE(""https://docs.google.com/spreadsheets/d/11923uPwbBZFjjGgGUA6NLw09EwE0CqkOc4q9oUmW1yo/edit?usp=sharing"",""แพร่!J376"")"),5092)</f>
        <v>5092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IFERROR(__xludf.DUMMYFUNCTION("IMPORTRANGE(""https://docs.google.com/spreadsheets/d/11923uPwbBZFjjGgGUA6NLw09EwE0CqkOc4q9oUmW1yo/edit?usp=sharing"",""แพร่!I377"")"),1189)</f>
        <v>1189</v>
      </c>
      <c r="J482" s="420">
        <f ca="1">IFERROR(__xludf.DUMMYFUNCTION("IMPORTRANGE(""https://docs.google.com/spreadsheets/d/11923uPwbBZFjjGgGUA6NLw09EwE0CqkOc4q9oUmW1yo/edit?usp=sharing"",""แพร่!J377"")"),1189)</f>
        <v>1189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IFERROR(__xludf.DUMMYFUNCTION("IMPORTRANGE(""https://docs.google.com/spreadsheets/d/11923uPwbBZFjjGgGUA6NLw09EwE0CqkOc4q9oUmW1yo/edit?usp=sharing"",""แพร่!I378"")"),0)</f>
        <v>0</v>
      </c>
      <c r="J483" s="188">
        <f ca="1">IFERROR(__xludf.DUMMYFUNCTION("IMPORTRANGE(""https://docs.google.com/spreadsheets/d/11923uPwbBZFjjGgGUA6NLw09EwE0CqkOc4q9oUmW1yo/edit?usp=sharing"",""แพร่!J378"")"),3579)</f>
        <v>3579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IFERROR(__xludf.DUMMYFUNCTION("IMPORTRANGE(""https://docs.google.com/spreadsheets/d/11923uPwbBZFjjGgGUA6NLw09EwE0CqkOc4q9oUmW1yo/edit?usp=sharing"",""แพร่!I379"")"),0)</f>
        <v>0</v>
      </c>
      <c r="J484" s="188">
        <f ca="1">IFERROR(__xludf.DUMMYFUNCTION("IMPORTRANGE(""https://docs.google.com/spreadsheets/d/11923uPwbBZFjjGgGUA6NLw09EwE0CqkOc4q9oUmW1yo/edit?usp=sharing"",""แพร่!J379"")"),848)</f>
        <v>848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IFERROR(__xludf.DUMMYFUNCTION("IMPORTRANGE(""https://docs.google.com/spreadsheets/d/11923uPwbBZFjjGgGUA6NLw09EwE0CqkOc4q9oUmW1yo/edit?usp=sharing"",""แพร่!I380"")"),0)</f>
        <v>0</v>
      </c>
      <c r="J485" s="188">
        <f ca="1">IFERROR(__xludf.DUMMYFUNCTION("IMPORTRANGE(""https://docs.google.com/spreadsheets/d/11923uPwbBZFjjGgGUA6NLw09EwE0CqkOc4q9oUmW1yo/edit?usp=sharing"",""แพร่!J380"")"),1400)</f>
        <v>1400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IFERROR(__xludf.DUMMYFUNCTION("IMPORTRANGE(""https://docs.google.com/spreadsheets/d/11923uPwbBZFjjGgGUA6NLw09EwE0CqkOc4q9oUmW1yo/edit?usp=sharing"",""แพร่!I381"")"),0)</f>
        <v>0</v>
      </c>
      <c r="J486" s="188">
        <f ca="1">IFERROR(__xludf.DUMMYFUNCTION("IMPORTRANGE(""https://docs.google.com/spreadsheets/d/11923uPwbBZFjjGgGUA6NLw09EwE0CqkOc4q9oUmW1yo/edit?usp=sharing"",""แพร่!J381"")"),313)</f>
        <v>313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IFERROR(__xludf.DUMMYFUNCTION("IMPORTRANGE(""https://docs.google.com/spreadsheets/d/11923uPwbBZFjjGgGUA6NLw09EwE0CqkOc4q9oUmW1yo/edit?usp=sharing"",""แพร่!I382"")"),0)</f>
        <v>0</v>
      </c>
      <c r="J487" s="420">
        <f ca="1">IFERROR(__xludf.DUMMYFUNCTION("IMPORTRANGE(""https://docs.google.com/spreadsheets/d/11923uPwbBZFjjGgGUA6NLw09EwE0CqkOc4q9oUmW1yo/edit?usp=sharing"",""แพร่!J382"")"),113)</f>
        <v>113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IFERROR(__xludf.DUMMYFUNCTION("IMPORTRANGE(""https://docs.google.com/spreadsheets/d/11923uPwbBZFjjGgGUA6NLw09EwE0CqkOc4q9oUmW1yo/edit?usp=sharing"",""แพร่!I383"")"),0)</f>
        <v>0</v>
      </c>
      <c r="J488" s="420">
        <f ca="1">IFERROR(__xludf.DUMMYFUNCTION("IMPORTRANGE(""https://docs.google.com/spreadsheets/d/11923uPwbBZFjjGgGUA6NLw09EwE0CqkOc4q9oUmW1yo/edit?usp=sharing"",""แพร่!J383"")"),28)</f>
        <v>28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IFERROR(__xludf.DUMMYFUNCTION("IMPORTRANGE(""https://docs.google.com/spreadsheets/d/11923uPwbBZFjjGgGUA6NLw09EwE0CqkOc4q9oUmW1yo/edit?usp=sharing"",""แพร่!I384"")"),0)</f>
        <v>0</v>
      </c>
      <c r="J489" s="188">
        <f ca="1">IFERROR(__xludf.DUMMYFUNCTION("IMPORTRANGE(""https://docs.google.com/spreadsheets/d/11923uPwbBZFjjGgGUA6NLw09EwE0CqkOc4q9oUmW1yo/edit?usp=sharing"",""แพร่!J384"")"),113)</f>
        <v>113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IFERROR(__xludf.DUMMYFUNCTION("IMPORTRANGE(""https://docs.google.com/spreadsheets/d/11923uPwbBZFjjGgGUA6NLw09EwE0CqkOc4q9oUmW1yo/edit?usp=sharing"",""แพร่!I385"")"),0)</f>
        <v>0</v>
      </c>
      <c r="J490" s="188">
        <f ca="1">IFERROR(__xludf.DUMMYFUNCTION("IMPORTRANGE(""https://docs.google.com/spreadsheets/d/11923uPwbBZFjjGgGUA6NLw09EwE0CqkOc4q9oUmW1yo/edit?usp=sharing"",""แพร่!J385"")"),28)</f>
        <v>28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IFERROR(__xludf.DUMMYFUNCTION("IMPORTRANGE(""https://docs.google.com/spreadsheets/d/11923uPwbBZFjjGgGUA6NLw09EwE0CqkOc4q9oUmW1yo/edit?usp=sharing"",""แพร่!I386"")"),0)</f>
        <v>0</v>
      </c>
      <c r="J491" s="188">
        <f ca="1">IFERROR(__xludf.DUMMYFUNCTION("IMPORTRANGE(""https://docs.google.com/spreadsheets/d/11923uPwbBZFjjGgGUA6NLw09EwE0CqkOc4q9oUmW1yo/edit?usp=sharing"",""แพร่!J386"")"),0)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IFERROR(__xludf.DUMMYFUNCTION("IMPORTRANGE(""https://docs.google.com/spreadsheets/d/11923uPwbBZFjjGgGUA6NLw09EwE0CqkOc4q9oUmW1yo/edit?usp=sharing"",""แพร่!I387"")"),0)</f>
        <v>0</v>
      </c>
      <c r="J492" s="188">
        <f ca="1">IFERROR(__xludf.DUMMYFUNCTION("IMPORTRANGE(""https://docs.google.com/spreadsheets/d/11923uPwbBZFjjGgGUA6NLw09EwE0CqkOc4q9oUmW1yo/edit?usp=sharing"",""แพร่!J387"")"),0)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IFERROR(__xludf.DUMMYFUNCTION("IMPORTRANGE(""https://docs.google.com/spreadsheets/d/11923uPwbBZFjjGgGUA6NLw09EwE0CqkOc4q9oUmW1yo/edit?usp=sharing"",""แพร่!I388"")"),0)</f>
        <v>0</v>
      </c>
      <c r="J493" s="188">
        <f ca="1">IFERROR(__xludf.DUMMYFUNCTION("IMPORTRANGE(""https://docs.google.com/spreadsheets/d/11923uPwbBZFjjGgGUA6NLw09EwE0CqkOc4q9oUmW1yo/edit?usp=sharing"",""แพร่!J388"")"),0)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IFERROR(__xludf.DUMMYFUNCTION("IMPORTRANGE(""https://docs.google.com/spreadsheets/d/11923uPwbBZFjjGgGUA6NLw09EwE0CqkOc4q9oUmW1yo/edit?usp=sharing"",""แพร่!I389"")"),0)</f>
        <v>0</v>
      </c>
      <c r="J494" s="436">
        <f ca="1">IFERROR(__xludf.DUMMYFUNCTION("IMPORTRANGE(""https://docs.google.com/spreadsheets/d/11923uPwbBZFjjGgGUA6NLw09EwE0CqkOc4q9oUmW1yo/edit?usp=sharing"",""แพร่!J389"")"),0)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IFERROR(__xludf.DUMMYFUNCTION("IMPORTRANGE(""https://docs.google.com/spreadsheets/d/11923uPwbBZFjjGgGUA6NLw09EwE0CqkOc4q9oUmW1yo/edit?usp=sharing"",""แพร่!I390"")"),0)</f>
        <v>0</v>
      </c>
      <c r="J495" s="436">
        <f ca="1">IFERROR(__xludf.DUMMYFUNCTION("IMPORTRANGE(""https://docs.google.com/spreadsheets/d/11923uPwbBZFjjGgGUA6NLw09EwE0CqkOc4q9oUmW1yo/edit?usp=sharing"",""แพร่!J390"")"),0)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IFERROR(__xludf.DUMMYFUNCTION("IMPORTRANGE(""https://docs.google.com/spreadsheets/d/11923uPwbBZFjjGgGUA6NLw09EwE0CqkOc4q9oUmW1yo/edit?usp=sharing"",""แพร่!I391"")"),0)</f>
        <v>0</v>
      </c>
      <c r="J496" s="436">
        <f ca="1">IFERROR(__xludf.DUMMYFUNCTION("IMPORTRANGE(""https://docs.google.com/spreadsheets/d/11923uPwbBZFjjGgGUA6NLw09EwE0CqkOc4q9oUmW1yo/edit?usp=sharing"",""แพร่!J391"")"),0)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IFERROR(__xludf.DUMMYFUNCTION("IMPORTRANGE(""https://docs.google.com/spreadsheets/d/11923uPwbBZFjjGgGUA6NLw09EwE0CqkOc4q9oUmW1yo/edit?usp=sharing"",""แพร่!I392"")"),139)</f>
        <v>139</v>
      </c>
      <c r="J497" s="443">
        <f ca="1">IFERROR(__xludf.DUMMYFUNCTION("IMPORTRANGE(""https://docs.google.com/spreadsheets/d/11923uPwbBZFjjGgGUA6NLw09EwE0CqkOc4q9oUmW1yo/edit?usp=sharing"",""แพร่!J392"")"),112)</f>
        <v>112</v>
      </c>
      <c r="K497" s="444">
        <f t="shared" ca="1" si="117"/>
        <v>80.57553956834532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IFERROR(__xludf.DUMMYFUNCTION("IMPORTRANGE(""https://docs.google.com/spreadsheets/d/11923uPwbBZFjjGgGUA6NLw09EwE0CqkOc4q9oUmW1yo/edit?usp=sharing"",""แพร่!I393"")"),139)</f>
        <v>139</v>
      </c>
      <c r="J498" s="420">
        <f ca="1">IFERROR(__xludf.DUMMYFUNCTION("IMPORTRANGE(""https://docs.google.com/spreadsheets/d/11923uPwbBZFjjGgGUA6NLw09EwE0CqkOc4q9oUmW1yo/edit?usp=sharing"",""แพร่!J393"")"),112)</f>
        <v>112</v>
      </c>
      <c r="K498" s="163">
        <f t="shared" ca="1" si="117"/>
        <v>80.57553956834532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IFERROR(__xludf.DUMMYFUNCTION("IMPORTRANGE(""https://docs.google.com/spreadsheets/d/11923uPwbBZFjjGgGUA6NLw09EwE0CqkOc4q9oUmW1yo/edit?usp=sharing"",""แพร่!I394"")"),32)</f>
        <v>32</v>
      </c>
      <c r="J499" s="420">
        <f ca="1">IFERROR(__xludf.DUMMYFUNCTION("IMPORTRANGE(""https://docs.google.com/spreadsheets/d/11923uPwbBZFjjGgGUA6NLw09EwE0CqkOc4q9oUmW1yo/edit?usp=sharing"",""แพร่!J394"")"),22)</f>
        <v>22</v>
      </c>
      <c r="K499" s="201">
        <f t="shared" ca="1" si="117"/>
        <v>68.75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IFERROR(__xludf.DUMMYFUNCTION("IMPORTRANGE(""https://docs.google.com/spreadsheets/d/11923uPwbBZFjjGgGUA6NLw09EwE0CqkOc4q9oUmW1yo/edit?usp=sharing"",""แพร่!I395"")"),0)</f>
        <v>0</v>
      </c>
      <c r="J500" s="162">
        <f ca="1">IFERROR(__xludf.DUMMYFUNCTION("IMPORTRANGE(""https://docs.google.com/spreadsheets/d/11923uPwbBZFjjGgGUA6NLw09EwE0CqkOc4q9oUmW1yo/edit?usp=sharing"",""แพร่!J395"")"),103)</f>
        <v>103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IFERROR(__xludf.DUMMYFUNCTION("IMPORTRANGE(""https://docs.google.com/spreadsheets/d/11923uPwbBZFjjGgGUA6NLw09EwE0CqkOc4q9oUmW1yo/edit?usp=sharing"",""แพร่!I396"")"),0)</f>
        <v>0</v>
      </c>
      <c r="J501" s="162">
        <f ca="1">IFERROR(__xludf.DUMMYFUNCTION("IMPORTRANGE(""https://docs.google.com/spreadsheets/d/11923uPwbBZFjjGgGUA6NLw09EwE0CqkOc4q9oUmW1yo/edit?usp=sharing"",""แพร่!J396"")"),20)</f>
        <v>20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IFERROR(__xludf.DUMMYFUNCTION("IMPORTRANGE(""https://docs.google.com/spreadsheets/d/11923uPwbBZFjjGgGUA6NLw09EwE0CqkOc4q9oUmW1yo/edit?usp=sharing"",""แพร่!I397"")"),0)</f>
        <v>0</v>
      </c>
      <c r="J502" s="188">
        <f ca="1">IFERROR(__xludf.DUMMYFUNCTION("IMPORTRANGE(""https://docs.google.com/spreadsheets/d/11923uPwbBZFjjGgGUA6NLw09EwE0CqkOc4q9oUmW1yo/edit?usp=sharing"",""แพร่!J397"")"),103)</f>
        <v>103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IFERROR(__xludf.DUMMYFUNCTION("IMPORTRANGE(""https://docs.google.com/spreadsheets/d/11923uPwbBZFjjGgGUA6NLw09EwE0CqkOc4q9oUmW1yo/edit?usp=sharing"",""แพร่!I398"")"),0)</f>
        <v>0</v>
      </c>
      <c r="J503" s="197">
        <f ca="1">IFERROR(__xludf.DUMMYFUNCTION("IMPORTRANGE(""https://docs.google.com/spreadsheets/d/11923uPwbBZFjjGgGUA6NLw09EwE0CqkOc4q9oUmW1yo/edit?usp=sharing"",""แพร่!J398"")"),20)</f>
        <v>20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IFERROR(__xludf.DUMMYFUNCTION("IMPORTRANGE(""https://docs.google.com/spreadsheets/d/11923uPwbBZFjjGgGUA6NLw09EwE0CqkOc4q9oUmW1yo/edit?usp=sharing"",""แพร่!I399"")"),0)</f>
        <v>0</v>
      </c>
      <c r="J504" s="188">
        <f ca="1">IFERROR(__xludf.DUMMYFUNCTION("IMPORTRANGE(""https://docs.google.com/spreadsheets/d/11923uPwbBZFjjGgGUA6NLw09EwE0CqkOc4q9oUmW1yo/edit?usp=sharing"",""แพร่!J399"")"),0)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IFERROR(__xludf.DUMMYFUNCTION("IMPORTRANGE(""https://docs.google.com/spreadsheets/d/11923uPwbBZFjjGgGUA6NLw09EwE0CqkOc4q9oUmW1yo/edit?usp=sharing"",""แพร่!I400"")"),0)</f>
        <v>0</v>
      </c>
      <c r="J505" s="197">
        <f ca="1">IFERROR(__xludf.DUMMYFUNCTION("IMPORTRANGE(""https://docs.google.com/spreadsheets/d/11923uPwbBZFjjGgGUA6NLw09EwE0CqkOc4q9oUmW1yo/edit?usp=sharing"",""แพร่!J400"")"),0)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IFERROR(__xludf.DUMMYFUNCTION("IMPORTRANGE(""https://docs.google.com/spreadsheets/d/11923uPwbBZFjjGgGUA6NLw09EwE0CqkOc4q9oUmW1yo/edit?usp=sharing"",""แพร่!I401"")"),0)</f>
        <v>0</v>
      </c>
      <c r="J506" s="188">
        <f ca="1">IFERROR(__xludf.DUMMYFUNCTION("IMPORTRANGE(""https://docs.google.com/spreadsheets/d/11923uPwbBZFjjGgGUA6NLw09EwE0CqkOc4q9oUmW1yo/edit?usp=sharing"",""แพร่!J401"")"),0)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IFERROR(__xludf.DUMMYFUNCTION("IMPORTRANGE(""https://docs.google.com/spreadsheets/d/11923uPwbBZFjjGgGUA6NLw09EwE0CqkOc4q9oUmW1yo/edit?usp=sharing"",""แพร่!I402"")"),0)</f>
        <v>0</v>
      </c>
      <c r="J507" s="197">
        <f ca="1">IFERROR(__xludf.DUMMYFUNCTION("IMPORTRANGE(""https://docs.google.com/spreadsheets/d/11923uPwbBZFjjGgGUA6NLw09EwE0CqkOc4q9oUmW1yo/edit?usp=sharing"",""แพร่!J402"")"),0)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IFERROR(__xludf.DUMMYFUNCTION("IMPORTRANGE(""https://docs.google.com/spreadsheets/d/11923uPwbBZFjjGgGUA6NLw09EwE0CqkOc4q9oUmW1yo/edit?usp=sharing"",""แพร่!I403"")"),0)</f>
        <v>0</v>
      </c>
      <c r="J508" s="162">
        <f ca="1">IFERROR(__xludf.DUMMYFUNCTION("IMPORTRANGE(""https://docs.google.com/spreadsheets/d/11923uPwbBZFjjGgGUA6NLw09EwE0CqkOc4q9oUmW1yo/edit?usp=sharing"",""แพร่!J403"")"),9)</f>
        <v>9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IFERROR(__xludf.DUMMYFUNCTION("IMPORTRANGE(""https://docs.google.com/spreadsheets/d/11923uPwbBZFjjGgGUA6NLw09EwE0CqkOc4q9oUmW1yo/edit?usp=sharing"",""แพร่!I404"")"),0)</f>
        <v>0</v>
      </c>
      <c r="J509" s="162">
        <f ca="1">IFERROR(__xludf.DUMMYFUNCTION("IMPORTRANGE(""https://docs.google.com/spreadsheets/d/11923uPwbBZFjjGgGUA6NLw09EwE0CqkOc4q9oUmW1yo/edit?usp=sharing"",""แพร่!J404"")"),2)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IFERROR(__xludf.DUMMYFUNCTION("IMPORTRANGE(""https://docs.google.com/spreadsheets/d/11923uPwbBZFjjGgGUA6NLw09EwE0CqkOc4q9oUmW1yo/edit?usp=sharing"",""แพร่!I405"")"),0)</f>
        <v>0</v>
      </c>
      <c r="J510" s="197">
        <f ca="1">IFERROR(__xludf.DUMMYFUNCTION("IMPORTRANGE(""https://docs.google.com/spreadsheets/d/11923uPwbBZFjjGgGUA6NLw09EwE0CqkOc4q9oUmW1yo/edit?usp=sharing"",""แพร่!J405"")"),9)</f>
        <v>9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IFERROR(__xludf.DUMMYFUNCTION("IMPORTRANGE(""https://docs.google.com/spreadsheets/d/11923uPwbBZFjjGgGUA6NLw09EwE0CqkOc4q9oUmW1yo/edit?usp=sharing"",""แพร่!I406"")"),0)</f>
        <v>0</v>
      </c>
      <c r="J511" s="197">
        <f ca="1">IFERROR(__xludf.DUMMYFUNCTION("IMPORTRANGE(""https://docs.google.com/spreadsheets/d/11923uPwbBZFjjGgGUA6NLw09EwE0CqkOc4q9oUmW1yo/edit?usp=sharing"",""แพร่!J406"")"),2)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IFERROR(__xludf.DUMMYFUNCTION("IMPORTRANGE(""https://docs.google.com/spreadsheets/d/11923uPwbBZFjjGgGUA6NLw09EwE0CqkOc4q9oUmW1yo/edit?usp=sharing"",""แพร่!I407"")"),0)</f>
        <v>0</v>
      </c>
      <c r="J512" s="197">
        <f ca="1">IFERROR(__xludf.DUMMYFUNCTION("IMPORTRANGE(""https://docs.google.com/spreadsheets/d/11923uPwbBZFjjGgGUA6NLw09EwE0CqkOc4q9oUmW1yo/edit?usp=sharing"",""แพร่!J407"")"),0)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IFERROR(__xludf.DUMMYFUNCTION("IMPORTRANGE(""https://docs.google.com/spreadsheets/d/11923uPwbBZFjjGgGUA6NLw09EwE0CqkOc4q9oUmW1yo/edit?usp=sharing"",""แพร่!I408"")"),0)</f>
        <v>0</v>
      </c>
      <c r="J513" s="197">
        <f ca="1">IFERROR(__xludf.DUMMYFUNCTION("IMPORTRANGE(""https://docs.google.com/spreadsheets/d/11923uPwbBZFjjGgGUA6NLw09EwE0CqkOc4q9oUmW1yo/edit?usp=sharing"",""แพร่!J408"")"),0)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IFERROR(__xludf.DUMMYFUNCTION("IMPORTRANGE(""https://docs.google.com/spreadsheets/d/11923uPwbBZFjjGgGUA6NLw09EwE0CqkOc4q9oUmW1yo/edit?usp=sharing"",""แพร่!I409"")"),0)</f>
        <v>0</v>
      </c>
      <c r="J514" s="197">
        <f ca="1">IFERROR(__xludf.DUMMYFUNCTION("IMPORTRANGE(""https://docs.google.com/spreadsheets/d/11923uPwbBZFjjGgGUA6NLw09EwE0CqkOc4q9oUmW1yo/edit?usp=sharing"",""แพร่!J409"")"),0)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IFERROR(__xludf.DUMMYFUNCTION("IMPORTRANGE(""https://docs.google.com/spreadsheets/d/11923uPwbBZFjjGgGUA6NLw09EwE0CqkOc4q9oUmW1yo/edit?usp=sharing"",""แพร่!I410"")"),0)</f>
        <v>0</v>
      </c>
      <c r="J515" s="197">
        <f ca="1">IFERROR(__xludf.DUMMYFUNCTION("IMPORTRANGE(""https://docs.google.com/spreadsheets/d/11923uPwbBZFjjGgGUA6NLw09EwE0CqkOc4q9oUmW1yo/edit?usp=sharing"",""แพร่!J410"")"),0)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IFERROR(__xludf.DUMMYFUNCTION("IMPORTRANGE(""https://docs.google.com/spreadsheets/d/11923uPwbBZFjjGgGUA6NLw09EwE0CqkOc4q9oUmW1yo/edit?usp=sharing"",""แพร่!I411"")"),0)</f>
        <v>0</v>
      </c>
      <c r="J516" s="267">
        <f ca="1">IFERROR(__xludf.DUMMYFUNCTION("IMPORTRANGE(""https://docs.google.com/spreadsheets/d/11923uPwbBZFjjGgGUA6NLw09EwE0CqkOc4q9oUmW1yo/edit?usp=sharing"",""แพร่!J411"")"),0)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IFERROR(__xludf.DUMMYFUNCTION("IMPORTRANGE(""https://docs.google.com/spreadsheets/d/11923uPwbBZFjjGgGUA6NLw09EwE0CqkOc4q9oUmW1yo/edit?usp=sharing"",""แพร่!I412"")"),0)</f>
        <v>0</v>
      </c>
      <c r="J517" s="284">
        <f ca="1">IFERROR(__xludf.DUMMYFUNCTION("IMPORTRANGE(""https://docs.google.com/spreadsheets/d/11923uPwbBZFjjGgGUA6NLw09EwE0CqkOc4q9oUmW1yo/edit?usp=sharing"",""แพร่!J412"")"),0)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IFERROR(__xludf.DUMMYFUNCTION("IMPORTRANGE(""https://docs.google.com/spreadsheets/d/11923uPwbBZFjjGgGUA6NLw09EwE0CqkOc4q9oUmW1yo/edit?usp=sharing"",""แพร่!I413"")"),0)</f>
        <v>0</v>
      </c>
      <c r="J518" s="284">
        <f ca="1">IFERROR(__xludf.DUMMYFUNCTION("IMPORTRANGE(""https://docs.google.com/spreadsheets/d/11923uPwbBZFjjGgGUA6NLw09EwE0CqkOc4q9oUmW1yo/edit?usp=sharing"",""แพร่!J413"")"),0)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IFERROR(__xludf.DUMMYFUNCTION("IMPORTRANGE(""https://docs.google.com/spreadsheets/d/11923uPwbBZFjjGgGUA6NLw09EwE0CqkOc4q9oUmW1yo/edit?usp=sharing"",""แพร่!I414"")"),0)</f>
        <v>0</v>
      </c>
      <c r="J519" s="187">
        <f ca="1">IFERROR(__xludf.DUMMYFUNCTION("IMPORTRANGE(""https://docs.google.com/spreadsheets/d/11923uPwbBZFjjGgGUA6NLw09EwE0CqkOc4q9oUmW1yo/edit?usp=sharing"",""แพร่!J414"")"),0)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IFERROR(__xludf.DUMMYFUNCTION("IMPORTRANGE(""https://docs.google.com/spreadsheets/d/11923uPwbBZFjjGgGUA6NLw09EwE0CqkOc4q9oUmW1yo/edit?usp=sharing"",""แพร่!I415"")"),0)</f>
        <v>0</v>
      </c>
      <c r="J520" s="187">
        <f ca="1">IFERROR(__xludf.DUMMYFUNCTION("IMPORTRANGE(""https://docs.google.com/spreadsheets/d/11923uPwbBZFjjGgGUA6NLw09EwE0CqkOc4q9oUmW1yo/edit?usp=sharing"",""แพร่!J415"")"),0)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IFERROR(__xludf.DUMMYFUNCTION("IMPORTRANGE(""https://docs.google.com/spreadsheets/d/11923uPwbBZFjjGgGUA6NLw09EwE0CqkOc4q9oUmW1yo/edit?usp=sharing"",""แพร่!I416"")"),0)</f>
        <v>0</v>
      </c>
      <c r="J521" s="187">
        <f ca="1">IFERROR(__xludf.DUMMYFUNCTION("IMPORTRANGE(""https://docs.google.com/spreadsheets/d/11923uPwbBZFjjGgGUA6NLw09EwE0CqkOc4q9oUmW1yo/edit?usp=sharing"",""แพร่!J416"")"),0)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IFERROR(__xludf.DUMMYFUNCTION("IMPORTRANGE(""https://docs.google.com/spreadsheets/d/11923uPwbBZFjjGgGUA6NLw09EwE0CqkOc4q9oUmW1yo/edit?usp=sharing"",""แพร่!I417"")"),0)</f>
        <v>0</v>
      </c>
      <c r="J522" s="187">
        <f ca="1">IFERROR(__xludf.DUMMYFUNCTION("IMPORTRANGE(""https://docs.google.com/spreadsheets/d/11923uPwbBZFjjGgGUA6NLw09EwE0CqkOc4q9oUmW1yo/edit?usp=sharing"",""แพร่!J417"")"),0)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IFERROR(__xludf.DUMMYFUNCTION("IMPORTRANGE(""https://docs.google.com/spreadsheets/d/11923uPwbBZFjjGgGUA6NLw09EwE0CqkOc4q9oUmW1yo/edit?usp=sharing"",""แพร่!I418"")"),0)</f>
        <v>0</v>
      </c>
      <c r="J523" s="187">
        <f ca="1">IFERROR(__xludf.DUMMYFUNCTION("IMPORTRANGE(""https://docs.google.com/spreadsheets/d/11923uPwbBZFjjGgGUA6NLw09EwE0CqkOc4q9oUmW1yo/edit?usp=sharing"",""แพร่!J418"")"),14)</f>
        <v>14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IFERROR(__xludf.DUMMYFUNCTION("IMPORTRANGE(""https://docs.google.com/spreadsheets/d/11923uPwbBZFjjGgGUA6NLw09EwE0CqkOc4q9oUmW1yo/edit?usp=sharing"",""แพร่!I419"")"),0)</f>
        <v>0</v>
      </c>
      <c r="J524" s="187">
        <f ca="1">IFERROR(__xludf.DUMMYFUNCTION("IMPORTRANGE(""https://docs.google.com/spreadsheets/d/11923uPwbBZFjjGgGUA6NLw09EwE0CqkOc4q9oUmW1yo/edit?usp=sharing"",""แพร่!J419"")"),5)</f>
        <v>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IFERROR(__xludf.DUMMYFUNCTION("IMPORTRANGE(""https://docs.google.com/spreadsheets/d/11923uPwbBZFjjGgGUA6NLw09EwE0CqkOc4q9oUmW1yo/edit?usp=sharing"",""แพร่!I420"")"),14)</f>
        <v>14</v>
      </c>
      <c r="J525" s="284">
        <f ca="1">IFERROR(__xludf.DUMMYFUNCTION("IMPORTRANGE(""https://docs.google.com/spreadsheets/d/11923uPwbBZFjjGgGUA6NLw09EwE0CqkOc4q9oUmW1yo/edit?usp=sharing"",""แพร่!J420"")"),0)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IFERROR(__xludf.DUMMYFUNCTION("IMPORTRANGE(""https://docs.google.com/spreadsheets/d/11923uPwbBZFjjGgGUA6NLw09EwE0CqkOc4q9oUmW1yo/edit?usp=sharing"",""แพร่!I421"")"),5)</f>
        <v>5</v>
      </c>
      <c r="J526" s="284">
        <f ca="1">IFERROR(__xludf.DUMMYFUNCTION("IMPORTRANGE(""https://docs.google.com/spreadsheets/d/11923uPwbBZFjjGgGUA6NLw09EwE0CqkOc4q9oUmW1yo/edit?usp=sharing"",""แพร่!J421"")"),0)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IFERROR(__xludf.DUMMYFUNCTION("IMPORTRANGE(""https://docs.google.com/spreadsheets/d/11923uPwbBZFjjGgGUA6NLw09EwE0CqkOc4q9oUmW1yo/edit?usp=sharing"",""แพร่!I422"")"),0)</f>
        <v>0</v>
      </c>
      <c r="J527" s="197">
        <f ca="1">IFERROR(__xludf.DUMMYFUNCTION("IMPORTRANGE(""https://docs.google.com/spreadsheets/d/11923uPwbBZFjjGgGUA6NLw09EwE0CqkOc4q9oUmW1yo/edit?usp=sharing"",""แพร่!J422"")"),0)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IFERROR(__xludf.DUMMYFUNCTION("IMPORTRANGE(""https://docs.google.com/spreadsheets/d/11923uPwbBZFjjGgGUA6NLw09EwE0CqkOc4q9oUmW1yo/edit?usp=sharing"",""แพร่!I423"")"),0)</f>
        <v>0</v>
      </c>
      <c r="J528" s="197">
        <f ca="1">IFERROR(__xludf.DUMMYFUNCTION("IMPORTRANGE(""https://docs.google.com/spreadsheets/d/11923uPwbBZFjjGgGUA6NLw09EwE0CqkOc4q9oUmW1yo/edit?usp=sharing"",""แพร่!J423"")"),0)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IFERROR(__xludf.DUMMYFUNCTION("IMPORTRANGE(""https://docs.google.com/spreadsheets/d/11923uPwbBZFjjGgGUA6NLw09EwE0CqkOc4q9oUmW1yo/edit?usp=sharing"",""แพร่!I424"")"),0)</f>
        <v>0</v>
      </c>
      <c r="J529" s="197">
        <f ca="1">IFERROR(__xludf.DUMMYFUNCTION("IMPORTRANGE(""https://docs.google.com/spreadsheets/d/11923uPwbBZFjjGgGUA6NLw09EwE0CqkOc4q9oUmW1yo/edit?usp=sharing"",""แพร่!J424"")"),0)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IFERROR(__xludf.DUMMYFUNCTION("IMPORTRANGE(""https://docs.google.com/spreadsheets/d/11923uPwbBZFjjGgGUA6NLw09EwE0CqkOc4q9oUmW1yo/edit?usp=sharing"",""แพร่!I425"")"),0)</f>
        <v>0</v>
      </c>
      <c r="J530" s="197">
        <f ca="1">IFERROR(__xludf.DUMMYFUNCTION("IMPORTRANGE(""https://docs.google.com/spreadsheets/d/11923uPwbBZFjjGgGUA6NLw09EwE0CqkOc4q9oUmW1yo/edit?usp=sharing"",""แพร่!J425"")"),0)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IFERROR(__xludf.DUMMYFUNCTION("IMPORTRANGE(""https://docs.google.com/spreadsheets/d/11923uPwbBZFjjGgGUA6NLw09EwE0CqkOc4q9oUmW1yo/edit?usp=sharing"",""แพร่!I426"")"),0)</f>
        <v>0</v>
      </c>
      <c r="J531" s="197">
        <f ca="1">IFERROR(__xludf.DUMMYFUNCTION("IMPORTRANGE(""https://docs.google.com/spreadsheets/d/11923uPwbBZFjjGgGUA6NLw09EwE0CqkOc4q9oUmW1yo/edit?usp=sharing"",""แพร่!J426"")"),0)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IFERROR(__xludf.DUMMYFUNCTION("IMPORTRANGE(""https://docs.google.com/spreadsheets/d/11923uPwbBZFjjGgGUA6NLw09EwE0CqkOc4q9oUmW1yo/edit?usp=sharing"",""แพร่!I427"")"),0)</f>
        <v>0</v>
      </c>
      <c r="J532" s="466">
        <f ca="1">IFERROR(__xludf.DUMMYFUNCTION("IMPORTRANGE(""https://docs.google.com/spreadsheets/d/11923uPwbBZFjjGgGUA6NLw09EwE0CqkOc4q9oUmW1yo/edit?usp=sharing"",""แพร่!J427"")"),0)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IFERROR(__xludf.DUMMYFUNCTION("IMPORTRANGE(""https://docs.google.com/spreadsheets/d/11923uPwbBZFjjGgGUA6NLw09EwE0CqkOc4q9oUmW1yo/edit?usp=sharing"",""แพร่!I428"")"),22)</f>
        <v>22</v>
      </c>
      <c r="J533" s="409">
        <f ca="1">IFERROR(__xludf.DUMMYFUNCTION("IMPORTRANGE(""https://docs.google.com/spreadsheets/d/11923uPwbBZFjjGgGUA6NLw09EwE0CqkOc4q9oUmW1yo/edit?usp=sharing"",""แพร่!J428"")"),22)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IFERROR(__xludf.DUMMYFUNCTION("IMPORTRANGE(""https://docs.google.com/spreadsheets/d/11923uPwbBZFjjGgGUA6NLw09EwE0CqkOc4q9oUmW1yo/edit?usp=sharing"",""แพร่!L428"")"),34340)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IFERROR(__xludf.DUMMYFUNCTION("IMPORTRANGE(""https://docs.google.com/spreadsheets/d/11923uPwbBZFjjGgGUA6NLw09EwE0CqkOc4q9oUmW1yo/edit?usp=sharing"",""แพร่!M428"")"),21672)</f>
        <v>21672</v>
      </c>
      <c r="O533" s="411">
        <f t="shared" ref="O533:O537" ca="1" si="118">+IF(L533&gt;0,N533*100/L533,0)</f>
        <v>63.110075713453696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IFERROR(__xludf.DUMMYFUNCTION("IMPORTRANGE(""https://docs.google.com/spreadsheets/d/11923uPwbBZFjjGgGUA6NLw09EwE0CqkOc4q9oUmW1yo/edit?usp=sharing"",""แพร่!L429"")"),0)</f>
        <v>0</v>
      </c>
      <c r="M534" s="164"/>
      <c r="N534" s="168">
        <f ca="1">IFERROR(__xludf.DUMMYFUNCTION("IMPORTRANGE(""https://docs.google.com/spreadsheets/d/11923uPwbBZFjjGgGUA6NLw09EwE0CqkOc4q9oUmW1yo/edit?usp=sharing"",""แพร่!M429"")"),0)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IFERROR(__xludf.DUMMYFUNCTION("IMPORTRANGE(""https://docs.google.com/spreadsheets/d/11923uPwbBZFjjGgGUA6NLw09EwE0CqkOc4q9oUmW1yo/edit?usp=sharing"",""แพร่!L430"")"),34340)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IFERROR(__xludf.DUMMYFUNCTION("IMPORTRANGE(""https://docs.google.com/spreadsheets/d/11923uPwbBZFjjGgGUA6NLw09EwE0CqkOc4q9oUmW1yo/edit?usp=sharing"",""แพร่!M430"")"),21672)</f>
        <v>21672</v>
      </c>
      <c r="O535" s="168">
        <f t="shared" ca="1" si="118"/>
        <v>63.110075713453696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IFERROR(__xludf.DUMMYFUNCTION("IMPORTRANGE(""https://docs.google.com/spreadsheets/d/11923uPwbBZFjjGgGUA6NLw09EwE0CqkOc4q9oUmW1yo/edit?usp=sharing"",""แพร่!L431"")"),0)</f>
        <v>0</v>
      </c>
      <c r="M536" s="168"/>
      <c r="N536" s="168">
        <f ca="1">IFERROR(__xludf.DUMMYFUNCTION("IMPORTRANGE(""https://docs.google.com/spreadsheets/d/11923uPwbBZFjjGgGUA6NLw09EwE0CqkOc4q9oUmW1yo/edit?usp=sharing"",""แพร่!M431"")"),0)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IFERROR(__xludf.DUMMYFUNCTION("IMPORTRANGE(""https://docs.google.com/spreadsheets/d/11923uPwbBZFjjGgGUA6NLw09EwE0CqkOc4q9oUmW1yo/edit?usp=sharing"",""แพร่!L432"")"),34340)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IFERROR(__xludf.DUMMYFUNCTION("IMPORTRANGE(""https://docs.google.com/spreadsheets/d/11923uPwbBZFjjGgGUA6NLw09EwE0CqkOc4q9oUmW1yo/edit?usp=sharing"",""แพร่!M432"")"),21672)</f>
        <v>21672</v>
      </c>
      <c r="O537" s="168">
        <f t="shared" ca="1" si="118"/>
        <v>63.110075713453696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IFERROR(__xludf.DUMMYFUNCTION("IMPORTRANGE(""https://docs.google.com/spreadsheets/d/11923uPwbBZFjjGgGUA6NLw09EwE0CqkOc4q9oUmW1yo/edit?usp=sharing"",""แพร่!M433"")"),17860)</f>
        <v>17860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IFERROR(__xludf.DUMMYFUNCTION("IMPORTRANGE(""https://docs.google.com/spreadsheets/d/11923uPwbBZFjjGgGUA6NLw09EwE0CqkOc4q9oUmW1yo/edit?usp=sharing"",""แพร่!M434"")"),0)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IFERROR(__xludf.DUMMYFUNCTION("IMPORTRANGE(""https://docs.google.com/spreadsheets/d/11923uPwbBZFjjGgGUA6NLw09EwE0CqkOc4q9oUmW1yo/edit?usp=sharing"",""แพร่!M435"")"),0)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IFERROR(__xludf.DUMMYFUNCTION("IMPORTRANGE(""https://docs.google.com/spreadsheets/d/11923uPwbBZFjjGgGUA6NLw09EwE0CqkOc4q9oUmW1yo/edit?usp=sharing"",""แพร่!M436"")"),3812)</f>
        <v>3812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IFERROR(__xludf.DUMMYFUNCTION("IMPORTRANGE(""https://docs.google.com/spreadsheets/d/11923uPwbBZFjjGgGUA6NLw09EwE0CqkOc4q9oUmW1yo/edit?usp=sharing"",""แพร่!J438"")"),0)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IFERROR(__xludf.DUMMYFUNCTION("IMPORTRANGE(""https://docs.google.com/spreadsheets/d/11923uPwbBZFjjGgGUA6NLw09EwE0CqkOc4q9oUmW1yo/edit?usp=sharing"",""แพร่!J439"")"),1)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IFERROR(__xludf.DUMMYFUNCTION("IMPORTRANGE(""https://docs.google.com/spreadsheets/d/11923uPwbBZFjjGgGUA6NLw09EwE0CqkOc4q9oUmW1yo/edit?usp=sharing"",""แพร่!J440"")"),1)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IFERROR(__xludf.DUMMYFUNCTION("IMPORTRANGE(""https://docs.google.com/spreadsheets/d/11923uPwbBZFjjGgGUA6NLw09EwE0CqkOc4q9oUmW1yo/edit?usp=sharing"",""แพร่!J441"")"),1)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IFERROR(__xludf.DUMMYFUNCTION("IMPORTRANGE(""https://docs.google.com/spreadsheets/d/11923uPwbBZFjjGgGUA6NLw09EwE0CqkOc4q9oUmW1yo/edit?usp=sharing"",""แพร่!I442"")"),22)</f>
        <v>22</v>
      </c>
      <c r="J547" s="188">
        <f ca="1">IFERROR(__xludf.DUMMYFUNCTION("IMPORTRANGE(""https://docs.google.com/spreadsheets/d/11923uPwbBZFjjGgGUA6NLw09EwE0CqkOc4q9oUmW1yo/edit?usp=sharing"",""แพร่!J442"")"),22)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IFERROR(__xludf.DUMMYFUNCTION("IMPORTRANGE(""https://docs.google.com/spreadsheets/d/11923uPwbBZFjjGgGUA6NLw09EwE0CqkOc4q9oUmW1yo/edit?usp=sharing"",""แพร่!J166"")"),0)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IFERROR(__xludf.DUMMYFUNCTION("IMPORTRANGE(""https://docs.google.com/spreadsheets/d/11923uPwbBZFjjGgGUA6NLw09EwE0CqkOc4q9oUmW1yo/edit?usp=sharing"",""แพร่!J444"")"),0)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IFERROR(__xludf.DUMMYFUNCTION("IMPORTRANGE(""https://docs.google.com/spreadsheets/d/11923uPwbBZFjjGgGUA6NLw09EwE0CqkOc4q9oUmW1yo/edit?usp=sharing"",""แพร่!J445"")"),0)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IFERROR(__xludf.DUMMYFUNCTION("IMPORTRANGE(""https://docs.google.com/spreadsheets/d/11923uPwbBZFjjGgGUA6NLw09EwE0CqkOc4q9oUmW1yo/edit?usp=sharing"",""แพร่!I446"")"),0)</f>
        <v>0</v>
      </c>
      <c r="J551" s="409">
        <f ca="1">IFERROR(__xludf.DUMMYFUNCTION("IMPORTRANGE(""https://docs.google.com/spreadsheets/d/11923uPwbBZFjjGgGUA6NLw09EwE0CqkOc4q9oUmW1yo/edit?usp=sharing"",""แพร่!J446"")"),0)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IFERROR(__xludf.DUMMYFUNCTION("IMPORTRANGE(""https://docs.google.com/spreadsheets/d/11923uPwbBZFjjGgGUA6NLw09EwE0CqkOc4q9oUmW1yo/edit?usp=sharing"",""แพร่!L446"")"),0)</f>
        <v>0</v>
      </c>
      <c r="M551" s="411"/>
      <c r="N551" s="411">
        <f ca="1">IFERROR(__xludf.DUMMYFUNCTION("IMPORTRANGE(""https://docs.google.com/spreadsheets/d/11923uPwbBZFjjGgGUA6NLw09EwE0CqkOc4q9oUmW1yo/edit?usp=sharing"",""แพร่!M446"")"),0)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IFERROR(__xludf.DUMMYFUNCTION("IMPORTRANGE(""https://docs.google.com/spreadsheets/d/11923uPwbBZFjjGgGUA6NLw09EwE0CqkOc4q9oUmW1yo/edit?usp=sharing"",""แพร่!L447"")"),0)</f>
        <v>0</v>
      </c>
      <c r="M552" s="164"/>
      <c r="N552" s="168">
        <f ca="1">IFERROR(__xludf.DUMMYFUNCTION("IMPORTRANGE(""https://docs.google.com/spreadsheets/d/11923uPwbBZFjjGgGUA6NLw09EwE0CqkOc4q9oUmW1yo/edit?usp=sharing"",""แพร่!M447"")"),0)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IFERROR(__xludf.DUMMYFUNCTION("IMPORTRANGE(""https://docs.google.com/spreadsheets/d/11923uPwbBZFjjGgGUA6NLw09EwE0CqkOc4q9oUmW1yo/edit?usp=sharing"",""แพร่!L448"")"),0)</f>
        <v>0</v>
      </c>
      <c r="M553" s="165"/>
      <c r="N553" s="168">
        <f ca="1">IFERROR(__xludf.DUMMYFUNCTION("IMPORTRANGE(""https://docs.google.com/spreadsheets/d/11923uPwbBZFjjGgGUA6NLw09EwE0CqkOc4q9oUmW1yo/edit?usp=sharing"",""แพร่!M448"")"),0)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IFERROR(__xludf.DUMMYFUNCTION("IMPORTRANGE(""https://docs.google.com/spreadsheets/d/11923uPwbBZFjjGgGUA6NLw09EwE0CqkOc4q9oUmW1yo/edit?usp=sharing"",""แพร่!L449"")"),0)</f>
        <v>0</v>
      </c>
      <c r="M554" s="168"/>
      <c r="N554" s="168">
        <f ca="1">IFERROR(__xludf.DUMMYFUNCTION("IMPORTRANGE(""https://docs.google.com/spreadsheets/d/11923uPwbBZFjjGgGUA6NLw09EwE0CqkOc4q9oUmW1yo/edit?usp=sharing"",""แพร่!M449"")"),0)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IFERROR(__xludf.DUMMYFUNCTION("IMPORTRANGE(""https://docs.google.com/spreadsheets/d/11923uPwbBZFjjGgGUA6NLw09EwE0CqkOc4q9oUmW1yo/edit?usp=sharing"",""แพร่!L450"")"),0)</f>
        <v>0</v>
      </c>
      <c r="M555" s="168"/>
      <c r="N555" s="168">
        <f ca="1">IFERROR(__xludf.DUMMYFUNCTION("IMPORTRANGE(""https://docs.google.com/spreadsheets/d/11923uPwbBZFjjGgGUA6NLw09EwE0CqkOc4q9oUmW1yo/edit?usp=sharing"",""แพร่!M450"")"),0)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IFERROR(__xludf.DUMMYFUNCTION("IMPORTRANGE(""https://docs.google.com/spreadsheets/d/11923uPwbBZFjjGgGUA6NLw09EwE0CqkOc4q9oUmW1yo/edit?usp=sharing"",""แพร่!M451"")"),0)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IFERROR(__xludf.DUMMYFUNCTION("IMPORTRANGE(""https://docs.google.com/spreadsheets/d/11923uPwbBZFjjGgGUA6NLw09EwE0CqkOc4q9oUmW1yo/edit?usp=sharing"",""แพร่!M452"")"),0)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IFERROR(__xludf.DUMMYFUNCTION("IMPORTRANGE(""https://docs.google.com/spreadsheets/d/11923uPwbBZFjjGgGUA6NLw09EwE0CqkOc4q9oUmW1yo/edit?usp=sharing"",""แพร่!M453"")"),0)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IFERROR(__xludf.DUMMYFUNCTION("IMPORTRANGE(""https://docs.google.com/spreadsheets/d/11923uPwbBZFjjGgGUA6NLw09EwE0CqkOc4q9oUmW1yo/edit?usp=sharing"",""แพร่!M454"")"),0)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IFERROR(__xludf.DUMMYFUNCTION("IMPORTRANGE(""https://docs.google.com/spreadsheets/d/11923uPwbBZFjjGgGUA6NLw09EwE0CqkOc4q9oUmW1yo/edit?usp=sharing"",""แพร่!I455"")"),0)</f>
        <v>0</v>
      </c>
      <c r="J560" s="162">
        <f ca="1">IFERROR(__xludf.DUMMYFUNCTION("IMPORTRANGE(""https://docs.google.com/spreadsheets/d/11923uPwbBZFjjGgGUA6NLw09EwE0CqkOc4q9oUmW1yo/edit?usp=sharing"",""แพร่!J455"")"),0)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IFERROR(__xludf.DUMMYFUNCTION("IMPORTRANGE(""https://docs.google.com/spreadsheets/d/11923uPwbBZFjjGgGUA6NLw09EwE0CqkOc4q9oUmW1yo/edit?usp=sharing"",""แพร่!I456"")"),0)</f>
        <v>0</v>
      </c>
      <c r="J561" s="203">
        <f ca="1">IFERROR(__xludf.DUMMYFUNCTION("IMPORTRANGE(""https://docs.google.com/spreadsheets/d/11923uPwbBZFjjGgGUA6NLw09EwE0CqkOc4q9oUmW1yo/edit?usp=sharing"",""แพร่!J456"")"),0)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IFERROR(__xludf.DUMMYFUNCTION("IMPORTRANGE(""https://docs.google.com/spreadsheets/d/11923uPwbBZFjjGgGUA6NLw09EwE0CqkOc4q9oUmW1yo/edit?usp=sharing"",""แพร่!I459"")"),1200)</f>
        <v>1200</v>
      </c>
      <c r="J564" s="370">
        <f ca="1">IFERROR(__xludf.DUMMYFUNCTION("IMPORTRANGE(""https://docs.google.com/spreadsheets/d/11923uPwbBZFjjGgGUA6NLw09EwE0CqkOc4q9oUmW1yo/edit?usp=sharing"",""แพร่!J459"")"),3147)</f>
        <v>3147</v>
      </c>
      <c r="K564" s="371">
        <f ca="1">IF(I564&gt;0,J564*100/I564,0)</f>
        <v>262.25</v>
      </c>
      <c r="L564" s="372">
        <f ca="1">IFERROR(__xludf.DUMMYFUNCTION("IMPORTRANGE(""https://docs.google.com/spreadsheets/d/11923uPwbBZFjjGgGUA6NLw09EwE0CqkOc4q9oUmW1yo/edit?usp=sharing"",""แพร่!L459"")"),126480)</f>
        <v>126480</v>
      </c>
      <c r="M564" s="372"/>
      <c r="N564" s="372">
        <f ca="1">IFERROR(__xludf.DUMMYFUNCTION("IMPORTRANGE(""https://docs.google.com/spreadsheets/d/11923uPwbBZFjjGgGUA6NLw09EwE0CqkOc4q9oUmW1yo/edit?usp=sharing"",""แพร่!M459"")"),70833)</f>
        <v>70833</v>
      </c>
      <c r="O564" s="372">
        <f t="shared" ref="O564:O568" ca="1" si="122">+IF(L564&gt;0,N564*100/L564,0)</f>
        <v>56.003320683111951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IFERROR(__xludf.DUMMYFUNCTION("IMPORTRANGE(""https://docs.google.com/spreadsheets/d/11923uPwbBZFjjGgGUA6NLw09EwE0CqkOc4q9oUmW1yo/edit?usp=sharing"",""แพร่!L460"")"),0)</f>
        <v>0</v>
      </c>
      <c r="M565" s="164"/>
      <c r="N565" s="168">
        <f ca="1">IFERROR(__xludf.DUMMYFUNCTION("IMPORTRANGE(""https://docs.google.com/spreadsheets/d/11923uPwbBZFjjGgGUA6NLw09EwE0CqkOc4q9oUmW1yo/edit?usp=sharing"",""แพร่!M460"")"),0)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IFERROR(__xludf.DUMMYFUNCTION("IMPORTRANGE(""https://docs.google.com/spreadsheets/d/11923uPwbBZFjjGgGUA6NLw09EwE0CqkOc4q9oUmW1yo/edit?usp=sharing"",""แพร่!L461"")"),126480)</f>
        <v>126480</v>
      </c>
      <c r="M566" s="165"/>
      <c r="N566" s="168">
        <f ca="1">IFERROR(__xludf.DUMMYFUNCTION("IMPORTRANGE(""https://docs.google.com/spreadsheets/d/11923uPwbBZFjjGgGUA6NLw09EwE0CqkOc4q9oUmW1yo/edit?usp=sharing"",""แพร่!M461"")"),70833)</f>
        <v>70833</v>
      </c>
      <c r="O566" s="168">
        <f t="shared" ca="1" si="122"/>
        <v>56.003320683111951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IFERROR(__xludf.DUMMYFUNCTION("IMPORTRANGE(""https://docs.google.com/spreadsheets/d/11923uPwbBZFjjGgGUA6NLw09EwE0CqkOc4q9oUmW1yo/edit?usp=sharing"",""แพร่!L462"")"),0)</f>
        <v>0</v>
      </c>
      <c r="M567" s="168"/>
      <c r="N567" s="168">
        <f ca="1">IFERROR(__xludf.DUMMYFUNCTION("IMPORTRANGE(""https://docs.google.com/spreadsheets/d/11923uPwbBZFjjGgGUA6NLw09EwE0CqkOc4q9oUmW1yo/edit?usp=sharing"",""แพร่!M462"")"),0)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IFERROR(__xludf.DUMMYFUNCTION("IMPORTRANGE(""https://docs.google.com/spreadsheets/d/11923uPwbBZFjjGgGUA6NLw09EwE0CqkOc4q9oUmW1yo/edit?usp=sharing"",""แพร่!L463"")"),126480)</f>
        <v>126480</v>
      </c>
      <c r="M568" s="168"/>
      <c r="N568" s="168">
        <f ca="1">IFERROR(__xludf.DUMMYFUNCTION("IMPORTRANGE(""https://docs.google.com/spreadsheets/d/11923uPwbBZFjjGgGUA6NLw09EwE0CqkOc4q9oUmW1yo/edit?usp=sharing"",""แพร่!M463"")"),70833)</f>
        <v>70833</v>
      </c>
      <c r="O568" s="168">
        <f t="shared" ca="1" si="122"/>
        <v>56.003320683111951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IFERROR(__xludf.DUMMYFUNCTION("IMPORTRANGE(""https://docs.google.com/spreadsheets/d/11923uPwbBZFjjGgGUA6NLw09EwE0CqkOc4q9oUmW1yo/edit?usp=sharing"",""แพร่!M464"")"),0)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IFERROR(__xludf.DUMMYFUNCTION("IMPORTRANGE(""https://docs.google.com/spreadsheets/d/11923uPwbBZFjjGgGUA6NLw09EwE0CqkOc4q9oUmW1yo/edit?usp=sharing"",""แพร่!M465"")"),0)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IFERROR(__xludf.DUMMYFUNCTION("IMPORTRANGE(""https://docs.google.com/spreadsheets/d/11923uPwbBZFjjGgGUA6NLw09EwE0CqkOc4q9oUmW1yo/edit?usp=sharing"",""แพร่!M466"")"),53899)</f>
        <v>53899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IFERROR(__xludf.DUMMYFUNCTION("IMPORTRANGE(""https://docs.google.com/spreadsheets/d/11923uPwbBZFjjGgGUA6NLw09EwE0CqkOc4q9oUmW1yo/edit?usp=sharing"",""แพร่!M467"")"),16934)</f>
        <v>16934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IFERROR(__xludf.DUMMYFUNCTION("IMPORTRANGE(""https://docs.google.com/spreadsheets/d/11923uPwbBZFjjGgGUA6NLw09EwE0CqkOc4q9oUmW1yo/edit?usp=sharing"",""แพร่!I468"")"),1200)</f>
        <v>1200</v>
      </c>
      <c r="J573" s="420">
        <f ca="1">IFERROR(__xludf.DUMMYFUNCTION("IMPORTRANGE(""https://docs.google.com/spreadsheets/d/11923uPwbBZFjjGgGUA6NLw09EwE0CqkOc4q9oUmW1yo/edit?usp=sharing"",""แพร่!J468"")"),3147)</f>
        <v>3147</v>
      </c>
      <c r="K573" s="201">
        <f ca="1">IF(I573&gt;0,J573*100/I573,0)</f>
        <v>262.25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IFERROR(__xludf.DUMMYFUNCTION("IMPORTRANGE(""https://docs.google.com/spreadsheets/d/11923uPwbBZFjjGgGUA6NLw09EwE0CqkOc4q9oUmW1yo/edit?usp=sharing"",""แพร่!I470"")"),0)</f>
        <v>0</v>
      </c>
      <c r="J575" s="197">
        <f ca="1">IFERROR(__xludf.DUMMYFUNCTION("IMPORTRANGE(""https://docs.google.com/spreadsheets/d/11923uPwbBZFjjGgGUA6NLw09EwE0CqkOc4q9oUmW1yo/edit?usp=sharing"",""แพร่!J470"")"),6)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IFERROR(__xludf.DUMMYFUNCTION("IMPORTRANGE(""https://docs.google.com/spreadsheets/d/11923uPwbBZFjjGgGUA6NLw09EwE0CqkOc4q9oUmW1yo/edit?usp=sharing"",""แพร่!I471"")"),0)</f>
        <v>0</v>
      </c>
      <c r="J576" s="197">
        <f ca="1">IFERROR(__xludf.DUMMYFUNCTION("IMPORTRANGE(""https://docs.google.com/spreadsheets/d/11923uPwbBZFjjGgGUA6NLw09EwE0CqkOc4q9oUmW1yo/edit?usp=sharing"",""แพร่!J471"")"),336)</f>
        <v>336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IFERROR(__xludf.DUMMYFUNCTION("IMPORTRANGE(""https://docs.google.com/spreadsheets/d/11923uPwbBZFjjGgGUA6NLw09EwE0CqkOc4q9oUmW1yo/edit?usp=sharing"",""แพร่!I472"")"),0)</f>
        <v>0</v>
      </c>
      <c r="J577" s="188">
        <f ca="1">IFERROR(__xludf.DUMMYFUNCTION("IMPORTRANGE(""https://docs.google.com/spreadsheets/d/11923uPwbBZFjjGgGUA6NLw09EwE0CqkOc4q9oUmW1yo/edit?usp=sharing"",""แพร่!J472"")"),2807)</f>
        <v>2807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IFERROR(__xludf.DUMMYFUNCTION("IMPORTRANGE(""https://docs.google.com/spreadsheets/d/11923uPwbBZFjjGgGUA6NLw09EwE0CqkOc4q9oUmW1yo/edit?usp=sharing"",""แพร่!I473"")"),0)</f>
        <v>0</v>
      </c>
      <c r="J578" s="197">
        <f ca="1">IFERROR(__xludf.DUMMYFUNCTION("IMPORTRANGE(""https://docs.google.com/spreadsheets/d/11923uPwbBZFjjGgGUA6NLw09EwE0CqkOc4q9oUmW1yo/edit?usp=sharing"",""แพร่!J473"")"),0)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IFERROR(__xludf.DUMMYFUNCTION("IMPORTRANGE(""https://docs.google.com/spreadsheets/d/11923uPwbBZFjjGgGUA6NLw09EwE0CqkOc4q9oUmW1yo/edit?usp=sharing"",""แพร่!I474"")"),0)</f>
        <v>0</v>
      </c>
      <c r="J579" s="197">
        <f ca="1">IFERROR(__xludf.DUMMYFUNCTION("IMPORTRANGE(""https://docs.google.com/spreadsheets/d/11923uPwbBZFjjGgGUA6NLw09EwE0CqkOc4q9oUmW1yo/edit?usp=sharing"",""แพร่!J474"")"),4)</f>
        <v>4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IFERROR(__xludf.DUMMYFUNCTION("IMPORTRANGE(""https://docs.google.com/spreadsheets/d/11923uPwbBZFjjGgGUA6NLw09EwE0CqkOc4q9oUmW1yo/edit?usp=sharing"",""แพร่!I475"")"),0)</f>
        <v>0</v>
      </c>
      <c r="J580" s="370">
        <f ca="1">IFERROR(__xludf.DUMMYFUNCTION("IMPORTRANGE(""https://docs.google.com/spreadsheets/d/11923uPwbBZFjjGgGUA6NLw09EwE0CqkOc4q9oUmW1yo/edit?usp=sharing"",""แพร่!J475"")"),8)</f>
        <v>8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IFERROR(__xludf.DUMMYFUNCTION("IMPORTRANGE(""https://docs.google.com/spreadsheets/d/11923uPwbBZFjjGgGUA6NLw09EwE0CqkOc4q9oUmW1yo/edit?usp=sharing"",""แพร่!L475"")"),0)</f>
        <v>0</v>
      </c>
      <c r="M580" s="372"/>
      <c r="N580" s="372">
        <f ca="1">IFERROR(__xludf.DUMMYFUNCTION("IMPORTRANGE(""https://docs.google.com/spreadsheets/d/11923uPwbBZFjjGgGUA6NLw09EwE0CqkOc4q9oUmW1yo/edit?usp=sharing"",""แพร่!M475"")"),0)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IFERROR(__xludf.DUMMYFUNCTION("IMPORTRANGE(""https://docs.google.com/spreadsheets/d/11923uPwbBZFjjGgGUA6NLw09EwE0CqkOc4q9oUmW1yo/edit?usp=sharing"",""แพร่!L476"")"),0)</f>
        <v>0</v>
      </c>
      <c r="M581" s="164"/>
      <c r="N581" s="168">
        <f ca="1">IFERROR(__xludf.DUMMYFUNCTION("IMPORTRANGE(""https://docs.google.com/spreadsheets/d/11923uPwbBZFjjGgGUA6NLw09EwE0CqkOc4q9oUmW1yo/edit?usp=sharing"",""แพร่!M476"")"),0)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IFERROR(__xludf.DUMMYFUNCTION("IMPORTRANGE(""https://docs.google.com/spreadsheets/d/11923uPwbBZFjjGgGUA6NLw09EwE0CqkOc4q9oUmW1yo/edit?usp=sharing"",""แพร่!L477"")"),0)</f>
        <v>0</v>
      </c>
      <c r="M582" s="165"/>
      <c r="N582" s="168">
        <f ca="1">IFERROR(__xludf.DUMMYFUNCTION("IMPORTRANGE(""https://docs.google.com/spreadsheets/d/11923uPwbBZFjjGgGUA6NLw09EwE0CqkOc4q9oUmW1yo/edit?usp=sharing"",""แพร่!M477"")"),0)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IFERROR(__xludf.DUMMYFUNCTION("IMPORTRANGE(""https://docs.google.com/spreadsheets/d/11923uPwbBZFjjGgGUA6NLw09EwE0CqkOc4q9oUmW1yo/edit?usp=sharing"",""แพร่!L478"")"),0)</f>
        <v>0</v>
      </c>
      <c r="M583" s="168"/>
      <c r="N583" s="168">
        <f ca="1">IFERROR(__xludf.DUMMYFUNCTION("IMPORTRANGE(""https://docs.google.com/spreadsheets/d/11923uPwbBZFjjGgGUA6NLw09EwE0CqkOc4q9oUmW1yo/edit?usp=sharing"",""แพร่!M478"")"),0)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IFERROR(__xludf.DUMMYFUNCTION("IMPORTRANGE(""https://docs.google.com/spreadsheets/d/11923uPwbBZFjjGgGUA6NLw09EwE0CqkOc4q9oUmW1yo/edit?usp=sharing"",""แพร่!L479"")"),0)</f>
        <v>0</v>
      </c>
      <c r="M584" s="168"/>
      <c r="N584" s="168">
        <f ca="1">IFERROR(__xludf.DUMMYFUNCTION("IMPORTRANGE(""https://docs.google.com/spreadsheets/d/11923uPwbBZFjjGgGUA6NLw09EwE0CqkOc4q9oUmW1yo/edit?usp=sharing"",""แพร่!M479"")"),0)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IFERROR(__xludf.DUMMYFUNCTION("IMPORTRANGE(""https://docs.google.com/spreadsheets/d/11923uPwbBZFjjGgGUA6NLw09EwE0CqkOc4q9oUmW1yo/edit?usp=sharing"",""แพร่!M480"")"),0)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IFERROR(__xludf.DUMMYFUNCTION("IMPORTRANGE(""https://docs.google.com/spreadsheets/d/11923uPwbBZFjjGgGUA6NLw09EwE0CqkOc4q9oUmW1yo/edit?usp=sharing"",""แพร่!M481"")"),0)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IFERROR(__xludf.DUMMYFUNCTION("IMPORTRANGE(""https://docs.google.com/spreadsheets/d/11923uPwbBZFjjGgGUA6NLw09EwE0CqkOc4q9oUmW1yo/edit?usp=sharing"",""แพร่!M482"")"),0)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IFERROR(__xludf.DUMMYFUNCTION("IMPORTRANGE(""https://docs.google.com/spreadsheets/d/11923uPwbBZFjjGgGUA6NLw09EwE0CqkOc4q9oUmW1yo/edit?usp=sharing"",""แพร่!M483"")"),0)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IFERROR(__xludf.DUMMYFUNCTION("IMPORTRANGE(""https://docs.google.com/spreadsheets/d/11923uPwbBZFjjGgGUA6NLw09EwE0CqkOc4q9oUmW1yo/edit?usp=sharing"",""แพร่!I484"")"),0)</f>
        <v>0</v>
      </c>
      <c r="J589" s="187">
        <f ca="1">IFERROR(__xludf.DUMMYFUNCTION("IMPORTRANGE(""https://docs.google.com/spreadsheets/d/11923uPwbBZFjjGgGUA6NLw09EwE0CqkOc4q9oUmW1yo/edit?usp=sharing"",""แพร่!J484"")"),2)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IFERROR(__xludf.DUMMYFUNCTION("IMPORTRANGE(""https://docs.google.com/spreadsheets/d/11923uPwbBZFjjGgGUA6NLw09EwE0CqkOc4q9oUmW1yo/edit?usp=sharing"",""แพร่!I485"")"),0)</f>
        <v>0</v>
      </c>
      <c r="J590" s="187">
        <f ca="1">IFERROR(__xludf.DUMMYFUNCTION("IMPORTRANGE(""https://docs.google.com/spreadsheets/d/11923uPwbBZFjjGgGUA6NLw09EwE0CqkOc4q9oUmW1yo/edit?usp=sharing"",""แพร่!J485"")"),1.65)</f>
        <v>1.65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IFERROR(__xludf.DUMMYFUNCTION("IMPORTRANGE(""https://docs.google.com/spreadsheets/d/11923uPwbBZFjjGgGUA6NLw09EwE0CqkOc4q9oUmW1yo/edit?usp=sharing"",""แพร่!I486"")"),0)</f>
        <v>0</v>
      </c>
      <c r="J591" s="187">
        <f ca="1">IFERROR(__xludf.DUMMYFUNCTION("IMPORTRANGE(""https://docs.google.com/spreadsheets/d/11923uPwbBZFjjGgGUA6NLw09EwE0CqkOc4q9oUmW1yo/edit?usp=sharing"",""แพร่!J486"")"),9)</f>
        <v>9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IFERROR(__xludf.DUMMYFUNCTION("IMPORTRANGE(""https://docs.google.com/spreadsheets/d/11923uPwbBZFjjGgGUA6NLw09EwE0CqkOc4q9oUmW1yo/edit?usp=sharing"",""แพร่!I487"")"),0)</f>
        <v>0</v>
      </c>
      <c r="J592" s="187">
        <f ca="1">IFERROR(__xludf.DUMMYFUNCTION("IMPORTRANGE(""https://docs.google.com/spreadsheets/d/11923uPwbBZFjjGgGUA6NLw09EwE0CqkOc4q9oUmW1yo/edit?usp=sharing"",""แพร่!J487"")"),5.21)</f>
        <v>5.21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IFERROR(__xludf.DUMMYFUNCTION("IMPORTRANGE(""https://docs.google.com/spreadsheets/d/11923uPwbBZFjjGgGUA6NLw09EwE0CqkOc4q9oUmW1yo/edit?usp=sharing"",""แพร่!I488"")"),0)</f>
        <v>0</v>
      </c>
      <c r="J593" s="187">
        <f ca="1">IFERROR(__xludf.DUMMYFUNCTION("IMPORTRANGE(""https://docs.google.com/spreadsheets/d/11923uPwbBZFjjGgGUA6NLw09EwE0CqkOc4q9oUmW1yo/edit?usp=sharing"",""แพร่!J488"")"),0)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IFERROR(__xludf.DUMMYFUNCTION("IMPORTRANGE(""https://docs.google.com/spreadsheets/d/11923uPwbBZFjjGgGUA6NLw09EwE0CqkOc4q9oUmW1yo/edit?usp=sharing"",""แพร่!I489"")"),0)</f>
        <v>0</v>
      </c>
      <c r="J594" s="187">
        <f ca="1">IFERROR(__xludf.DUMMYFUNCTION("IMPORTRANGE(""https://docs.google.com/spreadsheets/d/11923uPwbBZFjjGgGUA6NLw09EwE0CqkOc4q9oUmW1yo/edit?usp=sharing"",""แพร่!J489"")"),0)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IFERROR(__xludf.DUMMYFUNCTION("IMPORTRANGE(""https://docs.google.com/spreadsheets/d/11923uPwbBZFjjGgGUA6NLw09EwE0CqkOc4q9oUmW1yo/edit?usp=sharing"",""แพร่!I490"")"),0)</f>
        <v>0</v>
      </c>
      <c r="J595" s="187">
        <f ca="1">IFERROR(__xludf.DUMMYFUNCTION("IMPORTRANGE(""https://docs.google.com/spreadsheets/d/11923uPwbBZFjjGgGUA6NLw09EwE0CqkOc4q9oUmW1yo/edit?usp=sharing"",""แพร่!J490"")"),8)</f>
        <v>8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IFERROR(__xludf.DUMMYFUNCTION("IMPORTRANGE(""https://docs.google.com/spreadsheets/d/11923uPwbBZFjjGgGUA6NLw09EwE0CqkOc4q9oUmW1yo/edit?usp=sharing"",""แพร่!I491"")"),0)</f>
        <v>0</v>
      </c>
      <c r="J596" s="241">
        <f ca="1">IFERROR(__xludf.DUMMYFUNCTION("IMPORTRANGE(""https://docs.google.com/spreadsheets/d/11923uPwbBZFjjGgGUA6NLw09EwE0CqkOc4q9oUmW1yo/edit?usp=sharing"",""แพร่!J491"")"),4.41)</f>
        <v>4.41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IFERROR(__xludf.DUMMYFUNCTION("IMPORTRANGE(""https://docs.google.com/spreadsheets/d/11923uPwbBZFjjGgGUA6NLw09EwE0CqkOc4q9oUmW1yo/edit?usp=sharing"",""แพร่!I492"")"),50)</f>
        <v>50</v>
      </c>
      <c r="J597" s="488">
        <f ca="1">IFERROR(__xludf.DUMMYFUNCTION("IMPORTRANGE(""https://docs.google.com/spreadsheets/d/11923uPwbBZFjjGgGUA6NLw09EwE0CqkOc4q9oUmW1yo/edit?usp=sharing"",""แพร่!J492"")"),0)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IFERROR(__xludf.DUMMYFUNCTION("IMPORTRANGE(""https://docs.google.com/spreadsheets/d/11923uPwbBZFjjGgGUA6NLw09EwE0CqkOc4q9oUmW1yo/edit?usp=sharing"",""แพร่!L492"")"),4550)</f>
        <v>4550</v>
      </c>
      <c r="M597" s="411"/>
      <c r="N597" s="411">
        <f ca="1">IFERROR(__xludf.DUMMYFUNCTION("IMPORTRANGE(""https://docs.google.com/spreadsheets/d/11923uPwbBZFjjGgGUA6NLw09EwE0CqkOc4q9oUmW1yo/edit?usp=sharing"",""แพร่!M492"")"),432)</f>
        <v>432</v>
      </c>
      <c r="O597" s="411">
        <f t="shared" ref="O597:O601" ca="1" si="126">+IF(L597&gt;0,N597*100/L597,0)</f>
        <v>9.4945054945054945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IFERROR(__xludf.DUMMYFUNCTION("IMPORTRANGE(""https://docs.google.com/spreadsheets/d/11923uPwbBZFjjGgGUA6NLw09EwE0CqkOc4q9oUmW1yo/edit?usp=sharing"",""แพร่!L493"")"),0)</f>
        <v>0</v>
      </c>
      <c r="M598" s="164"/>
      <c r="N598" s="168">
        <f ca="1">IFERROR(__xludf.DUMMYFUNCTION("IMPORTRANGE(""https://docs.google.com/spreadsheets/d/11923uPwbBZFjjGgGUA6NLw09EwE0CqkOc4q9oUmW1yo/edit?usp=sharing"",""แพร่!M493"")"),0)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IFERROR(__xludf.DUMMYFUNCTION("IMPORTRANGE(""https://docs.google.com/spreadsheets/d/11923uPwbBZFjjGgGUA6NLw09EwE0CqkOc4q9oUmW1yo/edit?usp=sharing"",""แพร่!L494"")"),4550)</f>
        <v>4550</v>
      </c>
      <c r="M599" s="165"/>
      <c r="N599" s="168">
        <f ca="1">IFERROR(__xludf.DUMMYFUNCTION("IMPORTRANGE(""https://docs.google.com/spreadsheets/d/11923uPwbBZFjjGgGUA6NLw09EwE0CqkOc4q9oUmW1yo/edit?usp=sharing"",""แพร่!M494"")"),432)</f>
        <v>432</v>
      </c>
      <c r="O599" s="168">
        <f t="shared" ca="1" si="126"/>
        <v>9.4945054945054945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IFERROR(__xludf.DUMMYFUNCTION("IMPORTRANGE(""https://docs.google.com/spreadsheets/d/11923uPwbBZFjjGgGUA6NLw09EwE0CqkOc4q9oUmW1yo/edit?usp=sharing"",""แพร่!L495"")"),0)</f>
        <v>0</v>
      </c>
      <c r="M600" s="168"/>
      <c r="N600" s="168">
        <f ca="1">IFERROR(__xludf.DUMMYFUNCTION("IMPORTRANGE(""https://docs.google.com/spreadsheets/d/11923uPwbBZFjjGgGUA6NLw09EwE0CqkOc4q9oUmW1yo/edit?usp=sharing"",""แพร่!M495"")"),0)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IFERROR(__xludf.DUMMYFUNCTION("IMPORTRANGE(""https://docs.google.com/spreadsheets/d/11923uPwbBZFjjGgGUA6NLw09EwE0CqkOc4q9oUmW1yo/edit?usp=sharing"",""แพร่!L496"")"),4550)</f>
        <v>4550</v>
      </c>
      <c r="M601" s="168"/>
      <c r="N601" s="168">
        <f ca="1">IFERROR(__xludf.DUMMYFUNCTION("IMPORTRANGE(""https://docs.google.com/spreadsheets/d/11923uPwbBZFjjGgGUA6NLw09EwE0CqkOc4q9oUmW1yo/edit?usp=sharing"",""แพร่!M496"")"),432)</f>
        <v>432</v>
      </c>
      <c r="O601" s="168">
        <f t="shared" ca="1" si="126"/>
        <v>9.4945054945054945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IFERROR(__xludf.DUMMYFUNCTION("IMPORTRANGE(""https://docs.google.com/spreadsheets/d/11923uPwbBZFjjGgGUA6NLw09EwE0CqkOc4q9oUmW1yo/edit?usp=sharing"",""แพร่!M497"")"),0)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IFERROR(__xludf.DUMMYFUNCTION("IMPORTRANGE(""https://docs.google.com/spreadsheets/d/11923uPwbBZFjjGgGUA6NLw09EwE0CqkOc4q9oUmW1yo/edit?usp=sharing"",""แพร่!M498"")"),0)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IFERROR(__xludf.DUMMYFUNCTION("IMPORTRANGE(""https://docs.google.com/spreadsheets/d/11923uPwbBZFjjGgGUA6NLw09EwE0CqkOc4q9oUmW1yo/edit?usp=sharing"",""แพร่!M499"")"),0)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IFERROR(__xludf.DUMMYFUNCTION("IMPORTRANGE(""https://docs.google.com/spreadsheets/d/11923uPwbBZFjjGgGUA6NLw09EwE0CqkOc4q9oUmW1yo/edit?usp=sharing"",""แพร่!M500"")"),432)</f>
        <v>432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IFERROR(__xludf.DUMMYFUNCTION("IMPORTRANGE(""https://docs.google.com/spreadsheets/d/11923uPwbBZFjjGgGUA6NLw09EwE0CqkOc4q9oUmW1yo/edit?usp=sharing"",""แพร่!J502"")"),0)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IFERROR(__xludf.DUMMYFUNCTION("IMPORTRANGE(""https://docs.google.com/spreadsheets/d/11923uPwbBZFjjGgGUA6NLw09EwE0CqkOc4q9oUmW1yo/edit?usp=sharing"",""แพร่!J503"")"),1)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IFERROR(__xludf.DUMMYFUNCTION("IMPORTRANGE(""https://docs.google.com/spreadsheets/d/11923uPwbBZFjjGgGUA6NLw09EwE0CqkOc4q9oUmW1yo/edit?usp=sharing"",""แพร่!J166"")"),0)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IFERROR(__xludf.DUMMYFUNCTION("IMPORTRANGE(""https://docs.google.com/spreadsheets/d/11923uPwbBZFjjGgGUA6NLw09EwE0CqkOc4q9oUmW1yo/edit?usp=sharing"",""แพร่!J166"")"),0)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IFERROR(__xludf.DUMMYFUNCTION("IMPORTRANGE(""https://docs.google.com/spreadsheets/d/11923uPwbBZFjjGgGUA6NLw09EwE0CqkOc4q9oUmW1yo/edit?usp=sharing"",""แพร่!I506"")"),50)</f>
        <v>50</v>
      </c>
      <c r="J611" s="162">
        <f ca="1">IFERROR(__xludf.DUMMYFUNCTION("IMPORTRANGE(""https://docs.google.com/spreadsheets/d/11923uPwbBZFjjGgGUA6NLw09EwE0CqkOc4q9oUmW1yo/edit?usp=sharing"",""แพร่!J506"")"),0)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IFERROR(__xludf.DUMMYFUNCTION("IMPORTRANGE(""https://docs.google.com/spreadsheets/d/11923uPwbBZFjjGgGUA6NLw09EwE0CqkOc4q9oUmW1yo/edit?usp=sharing"",""แพร่!I507"")"),0)</f>
        <v>0</v>
      </c>
      <c r="J612" s="197">
        <f ca="1">IFERROR(__xludf.DUMMYFUNCTION("IMPORTRANGE(""https://docs.google.com/spreadsheets/d/11923uPwbBZFjjGgGUA6NLw09EwE0CqkOc4q9oUmW1yo/edit?usp=sharing"",""แพร่!J507"")"),0)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IFERROR(__xludf.DUMMYFUNCTION("IMPORTRANGE(""https://docs.google.com/spreadsheets/d/11923uPwbBZFjjGgGUA6NLw09EwE0CqkOc4q9oUmW1yo/edit?usp=sharing"",""แพร่!I508"")"),0)</f>
        <v>0</v>
      </c>
      <c r="J613" s="197">
        <f ca="1">IFERROR(__xludf.DUMMYFUNCTION("IMPORTRANGE(""https://docs.google.com/spreadsheets/d/11923uPwbBZFjjGgGUA6NLw09EwE0CqkOc4q9oUmW1yo/edit?usp=sharing"",""แพร่!J508"")"),0)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IFERROR(__xludf.DUMMYFUNCTION("IMPORTRANGE(""https://docs.google.com/spreadsheets/d/11923uPwbBZFjjGgGUA6NLw09EwE0CqkOc4q9oUmW1yo/edit?usp=sharing"",""แพร่!I509"")"),0)</f>
        <v>0</v>
      </c>
      <c r="J614" s="197">
        <f ca="1">IFERROR(__xludf.DUMMYFUNCTION("IMPORTRANGE(""https://docs.google.com/spreadsheets/d/11923uPwbBZFjjGgGUA6NLw09EwE0CqkOc4q9oUmW1yo/edit?usp=sharing"",""แพร่!J509"")"),0)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IFERROR(__xludf.DUMMYFUNCTION("IMPORTRANGE(""https://docs.google.com/spreadsheets/d/11923uPwbBZFjjGgGUA6NLw09EwE0CqkOc4q9oUmW1yo/edit?usp=sharing"",""แพร่!I510"")"),0)</f>
        <v>0</v>
      </c>
      <c r="J615" s="197">
        <f ca="1">IFERROR(__xludf.DUMMYFUNCTION("IMPORTRANGE(""https://docs.google.com/spreadsheets/d/11923uPwbBZFjjGgGUA6NLw09EwE0CqkOc4q9oUmW1yo/edit?usp=sharing"",""แพร่!J510"")"),0)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IFERROR(__xludf.DUMMYFUNCTION("IMPORTRANGE(""https://docs.google.com/spreadsheets/d/11923uPwbBZFjjGgGUA6NLw09EwE0CqkOc4q9oUmW1yo/edit?usp=sharing"",""แพร่!I511"")"),0)</f>
        <v>0</v>
      </c>
      <c r="J616" s="197">
        <f ca="1">IFERROR(__xludf.DUMMYFUNCTION("IMPORTRANGE(""https://docs.google.com/spreadsheets/d/11923uPwbBZFjjGgGUA6NLw09EwE0CqkOc4q9oUmW1yo/edit?usp=sharing"",""แพร่!J511"")"),0)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IFERROR(__xludf.DUMMYFUNCTION("IMPORTRANGE(""https://docs.google.com/spreadsheets/d/11923uPwbBZFjjGgGUA6NLw09EwE0CqkOc4q9oUmW1yo/edit?usp=sharing"",""แพร่!I512"")"),0)</f>
        <v>0</v>
      </c>
      <c r="J617" s="187">
        <f ca="1">IFERROR(__xludf.DUMMYFUNCTION("IMPORTRANGE(""https://docs.google.com/spreadsheets/d/11923uPwbBZFjjGgGUA6NLw09EwE0CqkOc4q9oUmW1yo/edit?usp=sharing"",""แพร่!J512"")"),0)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IFERROR(__xludf.DUMMYFUNCTION("IMPORTRANGE(""https://docs.google.com/spreadsheets/d/11923uPwbBZFjjGgGUA6NLw09EwE0CqkOc4q9oUmW1yo/edit?usp=sharing"",""แพร่!I513"")"),0)</f>
        <v>0</v>
      </c>
      <c r="J618" s="188">
        <f ca="1">IFERROR(__xludf.DUMMYFUNCTION("IMPORTRANGE(""https://docs.google.com/spreadsheets/d/11923uPwbBZFjjGgGUA6NLw09EwE0CqkOc4q9oUmW1yo/edit?usp=sharing"",""แพร่!J513"")"),0)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IFERROR(__xludf.DUMMYFUNCTION("IMPORTRANGE(""https://docs.google.com/spreadsheets/d/11923uPwbBZFjjGgGUA6NLw09EwE0CqkOc4q9oUmW1yo/edit?usp=sharing"",""แพร่!I514"")"),0)</f>
        <v>0</v>
      </c>
      <c r="J619" s="188">
        <f ca="1">IFERROR(__xludf.DUMMYFUNCTION("IMPORTRANGE(""https://docs.google.com/spreadsheets/d/11923uPwbBZFjjGgGUA6NLw09EwE0CqkOc4q9oUmW1yo/edit?usp=sharing"",""แพร่!J514"")"),0)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IFERROR(__xludf.DUMMYFUNCTION("IMPORTRANGE(""https://docs.google.com/spreadsheets/d/11923uPwbBZFjjGgGUA6NLw09EwE0CqkOc4q9oUmW1yo/edit?usp=sharing"",""แพร่!I515"")"),0)</f>
        <v>0</v>
      </c>
      <c r="J620" s="202">
        <f ca="1">IFERROR(__xludf.DUMMYFUNCTION("IMPORTRANGE(""https://docs.google.com/spreadsheets/d/11923uPwbBZFjjGgGUA6NLw09EwE0CqkOc4q9oUmW1yo/edit?usp=sharing"",""แพร่!J515"")"),0)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IFERROR(__xludf.DUMMYFUNCTION("IMPORTRANGE(""https://docs.google.com/spreadsheets/d/11923uPwbBZFjjGgGUA6NLw09EwE0CqkOc4q9oUmW1yo/edit?usp=sharing"",""แพร่!I516"")"),0)</f>
        <v>0</v>
      </c>
      <c r="J621" s="202">
        <f ca="1">IFERROR(__xludf.DUMMYFUNCTION("IMPORTRANGE(""https://docs.google.com/spreadsheets/d/11923uPwbBZFjjGgGUA6NLw09EwE0CqkOc4q9oUmW1yo/edit?usp=sharing"",""แพร่!J516"")"),0)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IFERROR(__xludf.DUMMYFUNCTION("IMPORTRANGE(""https://docs.google.com/spreadsheets/d/11923uPwbBZFjjGgGUA6NLw09EwE0CqkOc4q9oUmW1yo/edit?usp=sharing"",""แพร่!I517"")"),0)</f>
        <v>0</v>
      </c>
      <c r="J622" s="188">
        <f ca="1">IFERROR(__xludf.DUMMYFUNCTION("IMPORTRANGE(""https://docs.google.com/spreadsheets/d/11923uPwbBZFjjGgGUA6NLw09EwE0CqkOc4q9oUmW1yo/edit?usp=sharing"",""แพร่!J517"")"),0)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IFERROR(__xludf.DUMMYFUNCTION("IMPORTRANGE(""https://docs.google.com/spreadsheets/d/11923uPwbBZFjjGgGUA6NLw09EwE0CqkOc4q9oUmW1yo/edit?usp=sharing"",""แพร่!I518"")"),0)</f>
        <v>0</v>
      </c>
      <c r="J623" s="188">
        <f ca="1">IFERROR(__xludf.DUMMYFUNCTION("IMPORTRANGE(""https://docs.google.com/spreadsheets/d/11923uPwbBZFjjGgGUA6NLw09EwE0CqkOc4q9oUmW1yo/edit?usp=sharing"",""แพร่!J518"")"),0)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IFERROR(__xludf.DUMMYFUNCTION("IMPORTRANGE(""https://docs.google.com/spreadsheets/d/11923uPwbBZFjjGgGUA6NLw09EwE0CqkOc4q9oUmW1yo/edit?usp=sharing"",""แพร่!I519"")"),0)</f>
        <v>0</v>
      </c>
      <c r="J624" s="187">
        <f ca="1">IFERROR(__xludf.DUMMYFUNCTION("IMPORTRANGE(""https://docs.google.com/spreadsheets/d/11923uPwbBZFjjGgGUA6NLw09EwE0CqkOc4q9oUmW1yo/edit?usp=sharing"",""แพร่!J519"")"),0)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IFERROR(__xludf.DUMMYFUNCTION("IMPORTRANGE(""https://docs.google.com/spreadsheets/d/11923uPwbBZFjjGgGUA6NLw09EwE0CqkOc4q9oUmW1yo/edit?usp=sharing"",""แพร่!I520"")"),0)</f>
        <v>0</v>
      </c>
      <c r="J625" s="188">
        <f ca="1">IFERROR(__xludf.DUMMYFUNCTION("IMPORTRANGE(""https://docs.google.com/spreadsheets/d/11923uPwbBZFjjGgGUA6NLw09EwE0CqkOc4q9oUmW1yo/edit?usp=sharing"",""แพร่!J520"")"),0)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IFERROR(__xludf.DUMMYFUNCTION("IMPORTRANGE(""https://docs.google.com/spreadsheets/d/11923uPwbBZFjjGgGUA6NLw09EwE0CqkOc4q9oUmW1yo/edit?usp=sharing"",""แพร่!I521"")"),0)</f>
        <v>0</v>
      </c>
      <c r="J626" s="188">
        <f ca="1">IFERROR(__xludf.DUMMYFUNCTION("IMPORTRANGE(""https://docs.google.com/spreadsheets/d/11923uPwbBZFjjGgGUA6NLw09EwE0CqkOc4q9oUmW1yo/edit?usp=sharing"",""แพร่!J521"")"),0)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IFERROR(__xludf.DUMMYFUNCTION("IMPORTRANGE(""https://docs.google.com/spreadsheets/d/11923uPwbBZFjjGgGUA6NLw09EwE0CqkOc4q9oUmW1yo/edit?usp=sharing"",""แพร่!I523"")"),3480000)</f>
        <v>3480000</v>
      </c>
      <c r="J628" s="341">
        <f ca="1">IFERROR(__xludf.DUMMYFUNCTION("IMPORTRANGE(""https://docs.google.com/spreadsheets/d/11923uPwbBZFjjGgGUA6NLw09EwE0CqkOc4q9oUmW1yo/edit?usp=sharing"",""แพร่!J523"")"),2845000)</f>
        <v>2845000</v>
      </c>
      <c r="K628" s="342">
        <f t="shared" ref="K628:K635" ca="1" si="129">IF(I628&gt;0,J628*100/I628,0)</f>
        <v>81.752873563218387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IFERROR(__xludf.DUMMYFUNCTION("IMPORTRANGE(""https://docs.google.com/spreadsheets/d/11923uPwbBZFjjGgGUA6NLw09EwE0CqkOc4q9oUmW1yo/edit?usp=sharing"",""แพร่!I524"")"),160)</f>
        <v>160</v>
      </c>
      <c r="J629" s="341">
        <f ca="1">IFERROR(__xludf.DUMMYFUNCTION("IMPORTRANGE(""https://docs.google.com/spreadsheets/d/11923uPwbBZFjjGgGUA6NLw09EwE0CqkOc4q9oUmW1yo/edit?usp=sharing"",""แพร่!J524"")"),128)</f>
        <v>128</v>
      </c>
      <c r="K629" s="342">
        <f t="shared" ca="1" si="129"/>
        <v>80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IFERROR(__xludf.DUMMYFUNCTION("IMPORTRANGE(""https://docs.google.com/spreadsheets/d/11923uPwbBZFjjGgGUA6NLw09EwE0CqkOc4q9oUmW1yo/edit?usp=sharing"",""แพร่!I525"")"),664125.88)</f>
        <v>664125.88</v>
      </c>
      <c r="J630" s="341">
        <f ca="1">IFERROR(__xludf.DUMMYFUNCTION("IMPORTRANGE(""https://docs.google.com/spreadsheets/d/11923uPwbBZFjjGgGUA6NLw09EwE0CqkOc4q9oUmW1yo/edit?usp=sharing"",""แพร่!J525"")"),92275.25)</f>
        <v>92275.25</v>
      </c>
      <c r="K630" s="342">
        <f t="shared" ca="1" si="129"/>
        <v>13.894240953236155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IFERROR(__xludf.DUMMYFUNCTION("IMPORTRANGE(""https://docs.google.com/spreadsheets/d/11923uPwbBZFjjGgGUA6NLw09EwE0CqkOc4q9oUmW1yo/edit?usp=sharing"",""แพร่!I526"")"),54)</f>
        <v>54</v>
      </c>
      <c r="J631" s="341">
        <f ca="1">IFERROR(__xludf.DUMMYFUNCTION("IMPORTRANGE(""https://docs.google.com/spreadsheets/d/11923uPwbBZFjjGgGUA6NLw09EwE0CqkOc4q9oUmW1yo/edit?usp=sharing"",""แพร่!J526"")"),51)</f>
        <v>51</v>
      </c>
      <c r="K631" s="342">
        <f t="shared" ca="1" si="129"/>
        <v>94.444444444444443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IFERROR(__xludf.DUMMYFUNCTION("IMPORTRANGE(""https://docs.google.com/spreadsheets/d/11923uPwbBZFjjGgGUA6NLw09EwE0CqkOc4q9oUmW1yo/edit?usp=sharing"",""แพร่!I527"")"),0)</f>
        <v>0</v>
      </c>
      <c r="J632" s="341">
        <f ca="1">IFERROR(__xludf.DUMMYFUNCTION("IMPORTRANGE(""https://docs.google.com/spreadsheets/d/11923uPwbBZFjjGgGUA6NLw09EwE0CqkOc4q9oUmW1yo/edit?usp=sharing"",""แพร่!J527"")"),0)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IFERROR(__xludf.DUMMYFUNCTION("IMPORTRANGE(""https://docs.google.com/spreadsheets/d/11923uPwbBZFjjGgGUA6NLw09EwE0CqkOc4q9oUmW1yo/edit?usp=sharing"",""แพร่!I528"")"),0)</f>
        <v>0</v>
      </c>
      <c r="J633" s="341">
        <f ca="1">IFERROR(__xludf.DUMMYFUNCTION("IMPORTRANGE(""https://docs.google.com/spreadsheets/d/11923uPwbBZFjjGgGUA6NLw09EwE0CqkOc4q9oUmW1yo/edit?usp=sharing"",""แพร่!J528"")"),0)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IFERROR(__xludf.DUMMYFUNCTION("IMPORTRANGE(""https://docs.google.com/spreadsheets/d/11923uPwbBZFjjGgGUA6NLw09EwE0CqkOc4q9oUmW1yo/edit?usp=sharing"",""แพร่!I529"")"),3500000)</f>
        <v>3500000</v>
      </c>
      <c r="J634" s="341">
        <f ca="1">IFERROR(__xludf.DUMMYFUNCTION("IMPORTRANGE(""https://docs.google.com/spreadsheets/d/11923uPwbBZFjjGgGUA6NLw09EwE0CqkOc4q9oUmW1yo/edit?usp=sharing"",""แพร่!J529"")"),2240000)</f>
        <v>2240000</v>
      </c>
      <c r="K634" s="342">
        <f t="shared" ca="1" si="129"/>
        <v>64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IFERROR(__xludf.DUMMYFUNCTION("IMPORTRANGE(""https://docs.google.com/spreadsheets/d/11923uPwbBZFjjGgGUA6NLw09EwE0CqkOc4q9oUmW1yo/edit?usp=sharing"",""แพร่!I530"")"),140)</f>
        <v>140</v>
      </c>
      <c r="J635" s="505">
        <f ca="1">IFERROR(__xludf.DUMMYFUNCTION("IMPORTRANGE(""https://docs.google.com/spreadsheets/d/11923uPwbBZFjjGgGUA6NLw09EwE0CqkOc4q9oUmW1yo/edit?usp=sharing"",""แพร่!J530"")"),103)</f>
        <v>103</v>
      </c>
      <c r="K635" s="487">
        <f t="shared" ca="1" si="129"/>
        <v>73.571428571428569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120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120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120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IFERROR(__xludf.DUMMYFUNCTION("IMPORTRANGE(""https://docs.google.com/spreadsheets/d/11923uPwbBZFjjGgGUA6NLw09EwE0CqkOc4q9oUmW1yo/edit?usp=sharing"",""แพร่!J541"")"),0)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IFERROR(__xludf.DUMMYFUNCTION("IMPORTRANGE(""https://docs.google.com/spreadsheets/d/11923uPwbBZFjjGgGUA6NLw09EwE0CqkOc4q9oUmW1yo/edit?usp=sharing"",""แพร่!J542"")"),0)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IFERROR(__xludf.DUMMYFUNCTION("IMPORTRANGE(""https://docs.google.com/spreadsheets/d/11923uPwbBZFjjGgGUA6NLw09EwE0CqkOc4q9oUmW1yo/edit?usp=sharing"",""แพร่!I543"")"),0)</f>
        <v>0</v>
      </c>
      <c r="J648" s="536">
        <f ca="1">IFERROR(__xludf.DUMMYFUNCTION("IMPORTRANGE(""https://docs.google.com/spreadsheets/d/11923uPwbBZFjjGgGUA6NLw09EwE0CqkOc4q9oUmW1yo/edit?usp=sharing"",""แพร่!J543"")"),0)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IFERROR(__xludf.DUMMYFUNCTION("IMPORTRANGE(""https://docs.google.com/spreadsheets/d/11923uPwbBZFjjGgGUA6NLw09EwE0CqkOc4q9oUmW1yo/edit?usp=sharing"",""แพร่!L543"")"),0)</f>
        <v>0</v>
      </c>
      <c r="M648" s="521"/>
      <c r="N648" s="538">
        <f ca="1">IFERROR(__xludf.DUMMYFUNCTION("IMPORTRANGE(""https://docs.google.com/spreadsheets/d/11923uPwbBZFjjGgGUA6NLw09EwE0CqkOc4q9oUmW1yo/edit?usp=sharing"",""แพร่!M543"")"),0)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IFERROR(__xludf.DUMMYFUNCTION("IMPORTRANGE(""https://docs.google.com/spreadsheets/d/11923uPwbBZFjjGgGUA6NLw09EwE0CqkOc4q9oUmW1yo/edit?usp=sharing"",""แพร่!I544"")"),0)</f>
        <v>0</v>
      </c>
      <c r="J649" s="536">
        <f ca="1">IFERROR(__xludf.DUMMYFUNCTION("IMPORTRANGE(""https://docs.google.com/spreadsheets/d/11923uPwbBZFjjGgGUA6NLw09EwE0CqkOc4q9oUmW1yo/edit?usp=sharing"",""แพร่!J544"")"),0)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IFERROR(__xludf.DUMMYFUNCTION("IMPORTRANGE(""https://docs.google.com/spreadsheets/d/11923uPwbBZFjjGgGUA6NLw09EwE0CqkOc4q9oUmW1yo/edit?usp=sharing"",""แพร่!L544"")"),0)</f>
        <v>0</v>
      </c>
      <c r="M649" s="521"/>
      <c r="N649" s="538">
        <f ca="1">IFERROR(__xludf.DUMMYFUNCTION("IMPORTRANGE(""https://docs.google.com/spreadsheets/d/11923uPwbBZFjjGgGUA6NLw09EwE0CqkOc4q9oUmW1yo/edit?usp=sharing"",""แพร่!M544"")"),0)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IFERROR(__xludf.DUMMYFUNCTION("IMPORTRANGE(""https://docs.google.com/spreadsheets/d/11923uPwbBZFjjGgGUA6NLw09EwE0CqkOc4q9oUmW1yo/edit?usp=sharing"",""แพร่!I545"")"),0)</f>
        <v>0</v>
      </c>
      <c r="J650" s="536">
        <f ca="1">IFERROR(__xludf.DUMMYFUNCTION("IMPORTRANGE(""https://docs.google.com/spreadsheets/d/11923uPwbBZFjjGgGUA6NLw09EwE0CqkOc4q9oUmW1yo/edit?usp=sharing"",""แพร่!J545"")"),0)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IFERROR(__xludf.DUMMYFUNCTION("IMPORTRANGE(""https://docs.google.com/spreadsheets/d/11923uPwbBZFjjGgGUA6NLw09EwE0CqkOc4q9oUmW1yo/edit?usp=sharing"",""แพร่!L545"")"),0)</f>
        <v>0</v>
      </c>
      <c r="M650" s="521"/>
      <c r="N650" s="538">
        <f ca="1">IFERROR(__xludf.DUMMYFUNCTION("IMPORTRANGE(""https://docs.google.com/spreadsheets/d/11923uPwbBZFjjGgGUA6NLw09EwE0CqkOc4q9oUmW1yo/edit?usp=sharing"",""แพร่!M545"")"),0)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IFERROR(__xludf.DUMMYFUNCTION("IMPORTRANGE(""https://docs.google.com/spreadsheets/d/11923uPwbBZFjjGgGUA6NLw09EwE0CqkOc4q9oUmW1yo/edit?usp=sharing"",""แพร่!I546"")"),0)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IFERROR(__xludf.DUMMYFUNCTION("IMPORTRANGE(""https://docs.google.com/spreadsheets/d/11923uPwbBZFjjGgGUA6NLw09EwE0CqkOc4q9oUmW1yo/edit?usp=sharing"",""แพร่!L546"")"),0)</f>
        <v>0</v>
      </c>
      <c r="M651" s="521"/>
      <c r="N651" s="538">
        <f ca="1">IFERROR(__xludf.DUMMYFUNCTION("IMPORTRANGE(""https://docs.google.com/spreadsheets/d/11923uPwbBZFjjGgGUA6NLw09EwE0CqkOc4q9oUmW1yo/edit?usp=sharing"",""แพร่!M546"")"),0)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IFERROR(__xludf.DUMMYFUNCTION("IMPORTRANGE(""https://docs.google.com/spreadsheets/d/11923uPwbBZFjjGgGUA6NLw09EwE0CqkOc4q9oUmW1yo/edit?usp=sharing"",""แพร่!J547"")"),0)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IFERROR(__xludf.DUMMYFUNCTION("IMPORTRANGE(""https://docs.google.com/spreadsheets/d/11923uPwbBZFjjGgGUA6NLw09EwE0CqkOc4q9oUmW1yo/edit?usp=sharing"",""แพร่!J548"")"),0)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IFERROR(__xludf.DUMMYFUNCTION("IMPORTRANGE(""https://docs.google.com/spreadsheets/d/11923uPwbBZFjjGgGUA6NLw09EwE0CqkOc4q9oUmW1yo/edit?usp=sharing"",""แพร่!J550"")"),0)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IFERROR(__xludf.DUMMYFUNCTION("IMPORTRANGE(""https://docs.google.com/spreadsheets/d/11923uPwbBZFjjGgGUA6NLw09EwE0CqkOc4q9oUmW1yo/edit?usp=sharing"",""แพร่!J551"")"),0)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IFERROR(__xludf.DUMMYFUNCTION("IMPORTRANGE(""https://docs.google.com/spreadsheets/d/11923uPwbBZFjjGgGUA6NLw09EwE0CqkOc4q9oUmW1yo/edit?usp=sharing"",""แพร่!J552"")"),0)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IFERROR(__xludf.DUMMYFUNCTION("IMPORTRANGE(""https://docs.google.com/spreadsheets/d/11923uPwbBZFjjGgGUA6NLw09EwE0CqkOc4q9oUmW1yo/edit?usp=sharing"",""แพร่!J553"")"),0)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IFERROR(__xludf.DUMMYFUNCTION("IMPORTRANGE(""https://docs.google.com/spreadsheets/d/11923uPwbBZFjjGgGUA6NLw09EwE0CqkOc4q9oUmW1yo/edit?usp=sharing"",""แพร่!J554"")"),0)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IFERROR(__xludf.DUMMYFUNCTION("IMPORTRANGE(""https://docs.google.com/spreadsheets/d/11923uPwbBZFjjGgGUA6NLw09EwE0CqkOc4q9oUmW1yo/edit?usp=sharing"",""แพร่!J555"")"),0)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IFERROR(__xludf.DUMMYFUNCTION("IMPORTRANGE(""https://docs.google.com/spreadsheets/d/11923uPwbBZFjjGgGUA6NLw09EwE0CqkOc4q9oUmW1yo/edit?usp=sharing"",""แพร่!J556"")"),0)</f>
        <v>0</v>
      </c>
      <c r="K661" s="537"/>
      <c r="L661" s="522">
        <f ca="1">IFERROR(__xludf.DUMMYFUNCTION("IMPORTRANGE(""https://docs.google.com/spreadsheets/d/11923uPwbBZFjjGgGUA6NLw09EwE0CqkOc4q9oUmW1yo/edit?usp=sharing"",""แพร่!L556"")"),0)</f>
        <v>0</v>
      </c>
      <c r="M661" s="521"/>
      <c r="N661" s="538">
        <f ca="1">IFERROR(__xludf.DUMMYFUNCTION("IMPORTRANGE(""https://docs.google.com/spreadsheets/d/11923uPwbBZFjjGgGUA6NLw09EwE0CqkOc4q9oUmW1yo/edit?usp=sharing"",""แพร่!M556"")"),0)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IFERROR(__xludf.DUMMYFUNCTION("IMPORTRANGE(""https://docs.google.com/spreadsheets/d/11923uPwbBZFjjGgGUA6NLw09EwE0CqkOc4q9oUmW1yo/edit?usp=sharing"",""แพร่!J557"")"),0)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IFERROR(__xludf.DUMMYFUNCTION("IMPORTRANGE(""https://docs.google.com/spreadsheets/d/11923uPwbBZFjjGgGUA6NLw09EwE0CqkOc4q9oUmW1yo/edit?usp=sharing"",""แพร่!I558"")"),0)</f>
        <v>0</v>
      </c>
      <c r="J663" s="536">
        <f ca="1">IFERROR(__xludf.DUMMYFUNCTION("IMPORTRANGE(""https://docs.google.com/spreadsheets/d/11923uPwbBZFjjGgGUA6NLw09EwE0CqkOc4q9oUmW1yo/edit?usp=sharing"",""แพร่!J558"")"),0)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IFERROR(__xludf.DUMMYFUNCTION("IMPORTRANGE(""https://docs.google.com/spreadsheets/d/11923uPwbBZFjjGgGUA6NLw09EwE0CqkOc4q9oUmW1yo/edit?usp=sharing"",""แพร่!I560"")"),1)</f>
        <v>1</v>
      </c>
      <c r="J665" s="536">
        <f ca="1">IFERROR(__xludf.DUMMYFUNCTION("IMPORTRANGE(""https://docs.google.com/spreadsheets/d/11923uPwbBZFjjGgGUA6NLw09EwE0CqkOc4q9oUmW1yo/edit?usp=sharing"",""แพร่!J560"")"),0)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IFERROR(__xludf.DUMMYFUNCTION("IMPORTRANGE(""https://docs.google.com/spreadsheets/d/11923uPwbBZFjjGgGUA6NLw09EwE0CqkOc4q9oUmW1yo/edit?usp=sharing"",""แพร่!L560"")"),120)</f>
        <v>120</v>
      </c>
      <c r="M665" s="521"/>
      <c r="N665" s="538">
        <f ca="1">IFERROR(__xludf.DUMMYFUNCTION("IMPORTRANGE(""https://docs.google.com/spreadsheets/d/11923uPwbBZFjjGgGUA6NLw09EwE0CqkOc4q9oUmW1yo/edit?usp=sharing"",""แพร่!M560"")"),0)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IFERROR(__xludf.DUMMYFUNCTION("IMPORTRANGE(""https://docs.google.com/spreadsheets/d/11923uPwbBZFjjGgGUA6NLw09EwE0CqkOc4q9oUmW1yo/edit?usp=sharing"",""แพร่!J561"")"),0)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IFERROR(__xludf.DUMMYFUNCTION("IMPORTRANGE(""https://docs.google.com/spreadsheets/d/11923uPwbBZFjjGgGUA6NLw09EwE0CqkOc4q9oUmW1yo/edit?usp=sharing"",""แพร่!J562"")"),0)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IFERROR(__xludf.DUMMYFUNCTION("IMPORTRANGE(""https://docs.google.com/spreadsheets/d/11923uPwbBZFjjGgGUA6NLw09EwE0CqkOc4q9oUmW1yo/edit?usp=sharing"",""แพร่!I563"")"),0)</f>
        <v>0</v>
      </c>
      <c r="J668" s="536">
        <f ca="1">IFERROR(__xludf.DUMMYFUNCTION("IMPORTRANGE(""https://docs.google.com/spreadsheets/d/11923uPwbBZFjjGgGUA6NLw09EwE0CqkOc4q9oUmW1yo/edit?usp=sharing"",""แพร่!J563"")"),0)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IFERROR(__xludf.DUMMYFUNCTION("IMPORTRANGE(""https://docs.google.com/spreadsheets/d/11923uPwbBZFjjGgGUA6NLw09EwE0CqkOc4q9oUmW1yo/edit?usp=sharing"",""แพร่!L563"")"),0)</f>
        <v>0</v>
      </c>
      <c r="M668" s="521"/>
      <c r="N668" s="538">
        <f ca="1">IFERROR(__xludf.DUMMYFUNCTION("IMPORTRANGE(""https://docs.google.com/spreadsheets/d/11923uPwbBZFjjGgGUA6NLw09EwE0CqkOc4q9oUmW1yo/edit?usp=sharing"",""แพร่!M563"")"),0)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IFERROR(__xludf.DUMMYFUNCTION("IMPORTRANGE(""https://docs.google.com/spreadsheets/d/11923uPwbBZFjjGgGUA6NLw09EwE0CqkOc4q9oUmW1yo/edit?usp=sharing"",""แพร่!J564"")"),0)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IFERROR(__xludf.DUMMYFUNCTION("IMPORTRANGE(""https://docs.google.com/spreadsheets/d/11923uPwbBZFjjGgGUA6NLw09EwE0CqkOc4q9oUmW1yo/edit?usp=sharing"",""แพร่!J565"")"),0)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IFERROR(__xludf.DUMMYFUNCTION("IMPORTRANGE(""https://docs.google.com/spreadsheets/d/11923uPwbBZFjjGgGUA6NLw09EwE0CqkOc4q9oUmW1yo/edit?usp=sharing"",""แพร่!I566"")"),0)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IFERROR(__xludf.DUMMYFUNCTION("IMPORTRANGE(""https://docs.google.com/spreadsheets/d/11923uPwbBZFjjGgGUA6NLw09EwE0CqkOc4q9oUmW1yo/edit?usp=sharing"",""แพร่!L566"")"),0)</f>
        <v>0</v>
      </c>
      <c r="M671" s="521"/>
      <c r="N671" s="538">
        <f ca="1">IFERROR(__xludf.DUMMYFUNCTION("IMPORTRANGE(""https://docs.google.com/spreadsheets/d/11923uPwbBZFjjGgGUA6NLw09EwE0CqkOc4q9oUmW1yo/edit?usp=sharing"",""แพร่!M566"")"),0)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IFERROR(__xludf.DUMMYFUNCTION("IMPORTRANGE(""https://docs.google.com/spreadsheets/d/11923uPwbBZFjjGgGUA6NLw09EwE0CqkOc4q9oUmW1yo/edit?usp=sharing"",""แพร่!J567"")"),0)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IFERROR(__xludf.DUMMYFUNCTION("IMPORTRANGE(""https://docs.google.com/spreadsheets/d/11923uPwbBZFjjGgGUA6NLw09EwE0CqkOc4q9oUmW1yo/edit?usp=sharing"",""แพร่!J568"")"),0)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IFERROR(__xludf.DUMMYFUNCTION("IMPORTRANGE(""https://docs.google.com/spreadsheets/d/11923uPwbBZFjjGgGUA6NLw09EwE0CqkOc4q9oUmW1yo/edit?usp=sharing"",""แพร่!J569"")"),0)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IFERROR(__xludf.DUMMYFUNCTION("IMPORTRANGE(""https://docs.google.com/spreadsheets/d/11923uPwbBZFjjGgGUA6NLw09EwE0CqkOc4q9oUmW1yo/edit?usp=sharing"",""แพร่!J570"")"),0)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IFERROR(__xludf.DUMMYFUNCTION("IMPORTRANGE(""https://docs.google.com/spreadsheets/d/11923uPwbBZFjjGgGUA6NLw09EwE0CqkOc4q9oUmW1yo/edit?usp=sharing"",""แพร่!J571"")"),0)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IFERROR(__xludf.DUMMYFUNCTION("IMPORTRANGE(""https://docs.google.com/spreadsheets/d/11923uPwbBZFjjGgGUA6NLw09EwE0CqkOc4q9oUmW1yo/edit?usp=sharing"",""แพร่!J572"")"),0)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3:P3"/>
    <mergeCell ref="A2:P2"/>
    <mergeCell ref="A1:P1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3193402</v>
      </c>
      <c r="M8" s="23">
        <f t="shared" ca="1" si="0"/>
        <v>2196911</v>
      </c>
      <c r="N8" s="23">
        <f t="shared" ca="1" si="0"/>
        <v>2481979.67</v>
      </c>
      <c r="O8" s="22">
        <f t="shared" ref="O8:O16" ca="1" si="1">IF(L8&gt;0,N8*100/L8,0)</f>
        <v>77.722117979508994</v>
      </c>
      <c r="P8" s="22">
        <f t="shared" ref="P8:P16" ca="1" si="2">IF(M8&gt;0,N8*100/M8,0)</f>
        <v>112.97588614195114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3193402</v>
      </c>
      <c r="M10" s="30">
        <f t="shared" ca="1" si="4"/>
        <v>2196911</v>
      </c>
      <c r="N10" s="30">
        <f t="shared" ca="1" si="4"/>
        <v>2481979.67</v>
      </c>
      <c r="O10" s="29">
        <f t="shared" ca="1" si="1"/>
        <v>77.722117979508994</v>
      </c>
      <c r="P10" s="29">
        <f t="shared" ca="1" si="2"/>
        <v>112.97588614195114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3145602</v>
      </c>
      <c r="M12" s="39">
        <f t="shared" ca="1" si="6"/>
        <v>2149111</v>
      </c>
      <c r="N12" s="39">
        <f t="shared" ca="1" si="6"/>
        <v>2434179.67</v>
      </c>
      <c r="O12" s="39">
        <f t="shared" ca="1" si="1"/>
        <v>77.383587306976537</v>
      </c>
      <c r="P12" s="39">
        <f t="shared" ca="1" si="2"/>
        <v>113.26449262043701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1558000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1587602</v>
      </c>
      <c r="M14" s="39">
        <f t="shared" si="8"/>
        <v>0</v>
      </c>
      <c r="N14" s="39">
        <f t="shared" ca="1" si="8"/>
        <v>797529</v>
      </c>
      <c r="O14" s="39">
        <f t="shared" ca="1" si="1"/>
        <v>50.234819558050447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47800</v>
      </c>
      <c r="M16" s="39">
        <f t="shared" ca="1" si="10"/>
        <v>47800</v>
      </c>
      <c r="N16" s="39">
        <f t="shared" ca="1" si="10"/>
        <v>47800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2081675</v>
      </c>
      <c r="M18" s="23">
        <f t="shared" ca="1" si="11"/>
        <v>2196911</v>
      </c>
      <c r="N18" s="23">
        <f t="shared" ca="1" si="11"/>
        <v>1684450.67</v>
      </c>
      <c r="O18" s="22">
        <f t="shared" ref="O18:O20" ca="1" si="12">IF(L18&gt;0,N18*100/L18,0)</f>
        <v>80.918042922166038</v>
      </c>
      <c r="P18" s="22">
        <f t="shared" ref="P18:P26" ca="1" si="13">IF(M18&gt;0,N18*100/M18,0)</f>
        <v>76.673596244909334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2081675</v>
      </c>
      <c r="M20" s="30">
        <f t="shared" ca="1" si="15"/>
        <v>2196911</v>
      </c>
      <c r="N20" s="30">
        <f t="shared" ca="1" si="15"/>
        <v>1684450.67</v>
      </c>
      <c r="O20" s="29">
        <f t="shared" ca="1" si="12"/>
        <v>80.918042922166038</v>
      </c>
      <c r="P20" s="29">
        <f t="shared" ca="1" si="13"/>
        <v>76.673596244909334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2033875</v>
      </c>
      <c r="M22" s="42">
        <f t="shared" ca="1" si="18"/>
        <v>2149111</v>
      </c>
      <c r="N22" s="39">
        <f t="shared" ca="1" si="18"/>
        <v>1636650.67</v>
      </c>
      <c r="O22" s="39">
        <f t="shared" ca="1" si="17"/>
        <v>80.469579988937369</v>
      </c>
      <c r="P22" s="39">
        <f t="shared" ca="1" si="13"/>
        <v>76.154776091137222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1558000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475875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47800</v>
      </c>
      <c r="M26" s="50">
        <f t="shared" ca="1" si="22"/>
        <v>47800</v>
      </c>
      <c r="N26" s="50">
        <f t="shared" ca="1" si="22"/>
        <v>47800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1111727</v>
      </c>
      <c r="M28" s="23">
        <f t="shared" si="23"/>
        <v>0</v>
      </c>
      <c r="N28" s="23">
        <f t="shared" ca="1" si="23"/>
        <v>797529</v>
      </c>
      <c r="O28" s="22">
        <f t="shared" ref="O28:O30" ca="1" si="24">IF(L28&gt;0,N28*100/L28,0)</f>
        <v>71.737845712121768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1111727</v>
      </c>
      <c r="M30" s="30">
        <f t="shared" si="27"/>
        <v>0</v>
      </c>
      <c r="N30" s="30">
        <f t="shared" ca="1" si="27"/>
        <v>797529</v>
      </c>
      <c r="O30" s="29">
        <f t="shared" ca="1" si="24"/>
        <v>71.737845712121768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1111727</v>
      </c>
      <c r="M32" s="39">
        <f t="shared" si="30"/>
        <v>0</v>
      </c>
      <c r="N32" s="39">
        <f t="shared" ca="1" si="30"/>
        <v>797529</v>
      </c>
      <c r="O32" s="39">
        <f t="shared" ca="1" si="29"/>
        <v>71.737845712121768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1111727</v>
      </c>
      <c r="M34" s="39">
        <f t="shared" si="32"/>
        <v>0</v>
      </c>
      <c r="N34" s="39">
        <f t="shared" ca="1" si="32"/>
        <v>797529</v>
      </c>
      <c r="O34" s="39">
        <f t="shared" ca="1" si="29"/>
        <v>71.737845712121768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2081675</v>
      </c>
      <c r="M37" s="55">
        <f t="shared" ca="1" si="33"/>
        <v>2196911</v>
      </c>
      <c r="N37" s="55">
        <f t="shared" ca="1" si="33"/>
        <v>1684450.67</v>
      </c>
      <c r="O37" s="56">
        <f t="shared" ca="1" si="29"/>
        <v>80.918042922166038</v>
      </c>
      <c r="P37" s="56">
        <f t="shared" ca="1" si="25"/>
        <v>76.673596244909334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669700</v>
      </c>
      <c r="M41" s="79">
        <f t="shared" ca="1" si="34"/>
        <v>669700</v>
      </c>
      <c r="N41" s="79">
        <f t="shared" ca="1" si="34"/>
        <v>522785.37</v>
      </c>
      <c r="O41" s="78">
        <f t="shared" ref="O41:O43" ca="1" si="35">IF(L41&gt;0,N41*100/L41,0)</f>
        <v>78.062620576377483</v>
      </c>
      <c r="P41" s="78">
        <f t="shared" ref="P41:P43" ca="1" si="36">IF(M41&gt;0,N41*100/M41,0)</f>
        <v>78.062620576377483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669700</v>
      </c>
      <c r="M43" s="79">
        <f t="shared" ca="1" si="38"/>
        <v>669700</v>
      </c>
      <c r="N43" s="79">
        <f t="shared" ca="1" si="38"/>
        <v>522785.37</v>
      </c>
      <c r="O43" s="78">
        <f t="shared" ca="1" si="35"/>
        <v>78.062620576377483</v>
      </c>
      <c r="P43" s="78">
        <f t="shared" ca="1" si="36"/>
        <v>78.062620576377483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669700</v>
      </c>
      <c r="M45" s="50">
        <f ca="1">IFERROR(__xludf.DUMMYFUNCTION("IMPORTRANGE(""https://docs.google.com/spreadsheets/d/1Yj_ptqi66GCucihVvJfMjLAmec39IyEx_6qawtMGysU/edit?usp=sharing"",""สบก!Q31"")"),669700)</f>
        <v>669700</v>
      </c>
      <c r="N45" s="50">
        <f ca="1">IFERROR(__xludf.DUMMYFUNCTION("IMPORTRANGE(""https://docs.google.com/spreadsheets/d/1Yj_ptqi66GCucihVvJfMjLAmec39IyEx_6qawtMGysU/edit?usp=sharing"",""สบก!R31"")"),522785.37)</f>
        <v>522785.37</v>
      </c>
      <c r="O45" s="39">
        <f ca="1">IF(L45&gt;0,N45*100/L45,0)</f>
        <v>78.062620576377483</v>
      </c>
      <c r="P45" s="39">
        <f ca="1">IF(M45&gt;0,N45*100/M45,0)</f>
        <v>78.062620576377483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IFERROR(__xludf.DUMMYFUNCTION("IMPORTRANGE(""https://docs.google.com/spreadsheets/d/1Yj_ptqi66GCucihVvJfMjLAmec39IyEx_6qawtMGysU/edit?usp=sharing"",""สบก!M31"")"),669700)</f>
        <v>669700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IFERROR(__xludf.DUMMYFUNCTION("IMPORTRANGE(""https://docs.google.com/spreadsheets/d/1Yj_ptqi66GCucihVvJfMjLAmec39IyEx_6qawtMGysU/edit?usp=sharing"",""สบก!N31"")"),0)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IFERROR(__xludf.DUMMYFUNCTION("IMPORTRANGE(""https://docs.google.com/spreadsheets/d/1Yj_ptqi66GCucihVvJfMjLAmec39IyEx_6qawtMGysU/edit?usp=sharing"",""สบก!O31"")"),0)</f>
        <v>0</v>
      </c>
      <c r="M49" s="50"/>
      <c r="N49" s="50">
        <f ca="1">IFERROR(__xludf.DUMMYFUNCTION("IMPORTRANGE(""https://docs.google.com/spreadsheets/d/1Yj_ptqi66GCucihVvJfMjLAmec39IyEx_6qawtMGysU/edit?usp=sharing"",""สบก!S31"")"),0)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181500</v>
      </c>
      <c r="M53" s="121">
        <f t="shared" ca="1" si="39"/>
        <v>202936</v>
      </c>
      <c r="N53" s="121">
        <f t="shared" ca="1" si="39"/>
        <v>159986</v>
      </c>
      <c r="O53" s="120">
        <f t="shared" ref="O53:O55" ca="1" si="40">IF(L53&gt;0,N53*100/L53,0)</f>
        <v>88.146556473829207</v>
      </c>
      <c r="P53" s="120">
        <f t="shared" ref="P53:P55" ca="1" si="41">IF(M53&gt;0,N53*100/M53,0)</f>
        <v>78.835692040840456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181500</v>
      </c>
      <c r="M55" s="121">
        <f t="shared" ca="1" si="43"/>
        <v>202936</v>
      </c>
      <c r="N55" s="121">
        <f t="shared" ca="1" si="43"/>
        <v>159986</v>
      </c>
      <c r="O55" s="120">
        <f t="shared" ca="1" si="40"/>
        <v>88.146556473829207</v>
      </c>
      <c r="P55" s="120">
        <f t="shared" ca="1" si="41"/>
        <v>78.835692040840456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181500</v>
      </c>
      <c r="M57" s="50">
        <f ca="1">IFERROR(__xludf.DUMMYFUNCTION("IMPORTRANGE(""https://docs.google.com/spreadsheets/d/1Yj_ptqi66GCucihVvJfMjLAmec39IyEx_6qawtMGysU/edit?usp=sharing"",""สบก!Z31"")"),202936)</f>
        <v>202936</v>
      </c>
      <c r="N57" s="50">
        <f ca="1">IFERROR(__xludf.DUMMYFUNCTION("IMPORTRANGE(""https://docs.google.com/spreadsheets/d/1Yj_ptqi66GCucihVvJfMjLAmec39IyEx_6qawtMGysU/edit?usp=sharing"",""สบก!AA31"")"),159986)</f>
        <v>159986</v>
      </c>
      <c r="O57" s="39">
        <f ca="1">IF(L57&gt;0,N57*100/L57,0)</f>
        <v>88.146556473829207</v>
      </c>
      <c r="P57" s="39">
        <f ca="1">IF(M57&gt;0,N57*100/M57,0)</f>
        <v>78.835692040840456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IFERROR(__xludf.DUMMYFUNCTION("IMPORTRANGE(""https://docs.google.com/spreadsheets/d/1Yj_ptqi66GCucihVvJfMjLAmec39IyEx_6qawtMGysU/edit?usp=sharing"",""สบก!V31"")"),181500)</f>
        <v>181500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IFERROR(__xludf.DUMMYFUNCTION("IMPORTRANGE(""https://docs.google.com/spreadsheets/d/1Yj_ptqi66GCucihVvJfMjLAmec39IyEx_6qawtMGysU/edit?usp=sharing"",""สบก!W31"")"),0)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IFERROR(__xludf.DUMMYFUNCTION("IMPORTRANGE(""https://docs.google.com/spreadsheets/d/1Yj_ptqi66GCucihVvJfMjLAmec39IyEx_6qawtMGysU/edit?usp=sharing"",""สบก!X31"")"),0)</f>
        <v>0</v>
      </c>
      <c r="M61" s="50"/>
      <c r="N61" s="50">
        <f ca="1">IFERROR(__xludf.DUMMYFUNCTION("IMPORTRANGE(""https://docs.google.com/spreadsheets/d/1Yj_ptqi66GCucihVvJfMjLAmec39IyEx_6qawtMGysU/edit?usp=sharing"",""สบก!AB31"")"),0)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IFERROR(__xludf.DUMMYFUNCTION("IMPORTRANGE(""https://docs.google.com/spreadsheets/d/11923uPwbBZFjjGgGUA6NLw09EwE0CqkOc4q9oUmW1yo/edit?usp=sharing"",""แม่ฮ่องสอน!I9"")"),0)</f>
        <v>0</v>
      </c>
      <c r="J64" s="142">
        <f ca="1">IFERROR(__xludf.DUMMYFUNCTION("IMPORTRANGE(""https://docs.google.com/spreadsheets/d/11923uPwbBZFjjGgGUA6NLw09EwE0CqkOc4q9oUmW1yo/edit?usp=sharing"",""แม่ฮ่องสอน!J9"")"),0)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IFERROR(__xludf.DUMMYFUNCTION("IMPORTRANGE(""https://docs.google.com/spreadsheets/d/11923uPwbBZFjjGgGUA6NLw09EwE0CqkOc4q9oUmW1yo/edit?usp=sharing"",""แม่ฮ่องสอน!I10"")"),0)</f>
        <v>0</v>
      </c>
      <c r="J65" s="142">
        <f ca="1">IFERROR(__xludf.DUMMYFUNCTION("IMPORTRANGE(""https://docs.google.com/spreadsheets/d/11923uPwbBZFjjGgGUA6NLw09EwE0CqkOc4q9oUmW1yo/edit?usp=sharing"",""แม่ฮ่องสอน!J10"")"),0)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IFERROR(__xludf.DUMMYFUNCTION("IMPORTRANGE(""https://docs.google.com/spreadsheets/d/1Yj_ptqi66GCucihVvJfMjLAmec39IyEx_6qawtMGysU/edit?usp=sharing"",""สบก!AI31"")"),0)</f>
        <v>0</v>
      </c>
      <c r="N70" s="168">
        <f ca="1">IFERROR(__xludf.DUMMYFUNCTION("IMPORTRANGE(""https://docs.google.com/spreadsheets/d/1Yj_ptqi66GCucihVvJfMjLAmec39IyEx_6qawtMGysU/edit?usp=sharing"",""สบก!AJ31"")"),0)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IFERROR(__xludf.DUMMYFUNCTION("IMPORTRANGE(""https://docs.google.com/spreadsheets/d/1Yj_ptqi66GCucihVvJfMjLAmec39IyEx_6qawtMGysU/edit?usp=sharing"",""สบก!AE31"")"),0)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IFERROR(__xludf.DUMMYFUNCTION("IMPORTRANGE(""https://docs.google.com/spreadsheets/d/1Yj_ptqi66GCucihVvJfMjLAmec39IyEx_6qawtMGysU/edit?usp=sharing"",""สบก!AF31"")"),0)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IFERROR(__xludf.DUMMYFUNCTION("IMPORTRANGE(""https://docs.google.com/spreadsheets/d/1Yj_ptqi66GCucihVvJfMjLAmec39IyEx_6qawtMGysU/edit?usp=sharing"",""สบก!AG31"")"),0)</f>
        <v>0</v>
      </c>
      <c r="M74" s="50"/>
      <c r="N74" s="50">
        <f ca="1">IFERROR(__xludf.DUMMYFUNCTION("IMPORTRANGE(""https://docs.google.com/spreadsheets/d/1Yj_ptqi66GCucihVvJfMjLAmec39IyEx_6qawtMGysU/edit?usp=sharing"",""สบก!AK31"")"),0)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IFERROR(__xludf.DUMMYFUNCTION("IMPORTRANGE(""https://docs.google.com/spreadsheets/d/11923uPwbBZFjjGgGUA6NLw09EwE0CqkOc4q9oUmW1yo/edit?usp=sharing"",""แม่ฮ่องสอน!J16"")"),0)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IFERROR(__xludf.DUMMYFUNCTION("IMPORTRANGE(""https://docs.google.com/spreadsheets/d/11923uPwbBZFjjGgGUA6NLw09EwE0CqkOc4q9oUmW1yo/edit?usp=sharing"",""แม่ฮ่องสอน!J17"")"),0)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IFERROR(__xludf.DUMMYFUNCTION("IMPORTRANGE(""https://docs.google.com/spreadsheets/d/11923uPwbBZFjjGgGUA6NLw09EwE0CqkOc4q9oUmW1yo/edit?usp=sharing"",""แม่ฮ่องสอน!J18"")"),0)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IFERROR(__xludf.DUMMYFUNCTION("IMPORTRANGE(""https://docs.google.com/spreadsheets/d/11923uPwbBZFjjGgGUA6NLw09EwE0CqkOc4q9oUmW1yo/edit?usp=sharing"",""แม่ฮ่องสอน!J19"")"),0)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IFERROR(__xludf.DUMMYFUNCTION("IMPORTRANGE(""https://docs.google.com/spreadsheets/d/11923uPwbBZFjjGgGUA6NLw09EwE0CqkOc4q9oUmW1yo/edit?usp=sharing"",""แม่ฮ่องสอน!I20"")"),0)</f>
        <v>0</v>
      </c>
      <c r="J80" s="200">
        <f ca="1">IFERROR(__xludf.DUMMYFUNCTION("IMPORTRANGE(""https://docs.google.com/spreadsheets/d/11923uPwbBZFjjGgGUA6NLw09EwE0CqkOc4q9oUmW1yo/edit?usp=sharing"",""แม่ฮ่องสอน!J20"")"),0)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IFERROR(__xludf.DUMMYFUNCTION("IMPORTRANGE(""https://docs.google.com/spreadsheets/d/11923uPwbBZFjjGgGUA6NLw09EwE0CqkOc4q9oUmW1yo/edit?usp=sharing"",""แม่ฮ่องสอน!I21"")"),0)</f>
        <v>0</v>
      </c>
      <c r="J81" s="200">
        <f ca="1">IFERROR(__xludf.DUMMYFUNCTION("IMPORTRANGE(""https://docs.google.com/spreadsheets/d/11923uPwbBZFjjGgGUA6NLw09EwE0CqkOc4q9oUmW1yo/edit?usp=sharing"",""แม่ฮ่องสอน!J21"")"),0)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IFERROR(__xludf.DUMMYFUNCTION("IMPORTRANGE(""https://docs.google.com/spreadsheets/d/11923uPwbBZFjjGgGUA6NLw09EwE0CqkOc4q9oUmW1yo/edit?usp=sharing"",""แม่ฮ่องสอน!I22"")"),0)</f>
        <v>0</v>
      </c>
      <c r="J82" s="203">
        <f ca="1">IFERROR(__xludf.DUMMYFUNCTION("IMPORTRANGE(""https://docs.google.com/spreadsheets/d/11923uPwbBZFjjGgGUA6NLw09EwE0CqkOc4q9oUmW1yo/edit?usp=sharing"",""แม่ฮ่องสอน!J22"")"),0)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IFERROR(__xludf.DUMMYFUNCTION("IMPORTRANGE(""https://docs.google.com/spreadsheets/d/11923uPwbBZFjjGgGUA6NLw09EwE0CqkOc4q9oUmW1yo/edit?usp=sharing"",""แม่ฮ่องสอน!I23"")"),0)</f>
        <v>0</v>
      </c>
      <c r="J83" s="203">
        <f ca="1">IFERROR(__xludf.DUMMYFUNCTION("IMPORTRANGE(""https://docs.google.com/spreadsheets/d/11923uPwbBZFjjGgGUA6NLw09EwE0CqkOc4q9oUmW1yo/edit?usp=sharing"",""แม่ฮ่องสอน!J23"")"),0)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IFERROR(__xludf.DUMMYFUNCTION("IMPORTRANGE(""https://docs.google.com/spreadsheets/d/11923uPwbBZFjjGgGUA6NLw09EwE0CqkOc4q9oUmW1yo/edit?usp=sharing"",""แม่ฮ่องสอน!I24"")"),0)</f>
        <v>0</v>
      </c>
      <c r="J84" s="188">
        <f ca="1">IFERROR(__xludf.DUMMYFUNCTION("IMPORTRANGE(""https://docs.google.com/spreadsheets/d/11923uPwbBZFjjGgGUA6NLw09EwE0CqkOc4q9oUmW1yo/edit?usp=sharing"",""แม่ฮ่องสอน!J24"")"),0)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IFERROR(__xludf.DUMMYFUNCTION("IMPORTRANGE(""https://docs.google.com/spreadsheets/d/11923uPwbBZFjjGgGUA6NLw09EwE0CqkOc4q9oUmW1yo/edit?usp=sharing"",""แม่ฮ่องสอน!I25"")"),0)</f>
        <v>0</v>
      </c>
      <c r="J85" s="188">
        <f ca="1">IFERROR(__xludf.DUMMYFUNCTION("IMPORTRANGE(""https://docs.google.com/spreadsheets/d/11923uPwbBZFjjGgGUA6NLw09EwE0CqkOc4q9oUmW1yo/edit?usp=sharing"",""แม่ฮ่องสอน!J25"")"),0)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IFERROR(__xludf.DUMMYFUNCTION("IMPORTRANGE(""https://docs.google.com/spreadsheets/d/11923uPwbBZFjjGgGUA6NLw09EwE0CqkOc4q9oUmW1yo/edit?usp=sharing"",""แม่ฮ่องสอน!I26"")"),0)</f>
        <v>0</v>
      </c>
      <c r="J86" s="203">
        <f ca="1">IFERROR(__xludf.DUMMYFUNCTION("IMPORTRANGE(""https://docs.google.com/spreadsheets/d/11923uPwbBZFjjGgGUA6NLw09EwE0CqkOc4q9oUmW1yo/edit?usp=sharing"",""แม่ฮ่องสอน!J26"")"),0)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IFERROR(__xludf.DUMMYFUNCTION("IMPORTRANGE(""https://docs.google.com/spreadsheets/d/11923uPwbBZFjjGgGUA6NLw09EwE0CqkOc4q9oUmW1yo/edit?usp=sharing"",""แม่ฮ่องสอน!I27"")"),0)</f>
        <v>0</v>
      </c>
      <c r="J87" s="203">
        <f ca="1">IFERROR(__xludf.DUMMYFUNCTION("IMPORTRANGE(""https://docs.google.com/spreadsheets/d/11923uPwbBZFjjGgGUA6NLw09EwE0CqkOc4q9oUmW1yo/edit?usp=sharing"",""แม่ฮ่องสอน!J27"")"),0)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IFERROR(__xludf.DUMMYFUNCTION("IMPORTRANGE(""https://docs.google.com/spreadsheets/d/11923uPwbBZFjjGgGUA6NLw09EwE0CqkOc4q9oUmW1yo/edit?usp=sharing"",""แม่ฮ่องสอน!I28"")"),0)</f>
        <v>0</v>
      </c>
      <c r="J88" s="203">
        <f ca="1">IFERROR(__xludf.DUMMYFUNCTION("IMPORTRANGE(""https://docs.google.com/spreadsheets/d/11923uPwbBZFjjGgGUA6NLw09EwE0CqkOc4q9oUmW1yo/edit?usp=sharing"",""แม่ฮ่องสอน!J28"")"),0)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IFERROR(__xludf.DUMMYFUNCTION("IMPORTRANGE(""https://docs.google.com/spreadsheets/d/11923uPwbBZFjjGgGUA6NLw09EwE0CqkOc4q9oUmW1yo/edit?usp=sharing"",""แม่ฮ่องสอน!J29"")"),0)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IFERROR(__xludf.DUMMYFUNCTION("IMPORTRANGE(""https://docs.google.com/spreadsheets/d/11923uPwbBZFjjGgGUA6NLw09EwE0CqkOc4q9oUmW1yo/edit?usp=sharing"",""แม่ฮ่องสอน!J30"")"),0)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IFERROR(__xludf.DUMMYFUNCTION("IMPORTRANGE(""https://docs.google.com/spreadsheets/d/11923uPwbBZFjjGgGUA6NLw09EwE0CqkOc4q9oUmW1yo/edit?usp=sharing"",""แม่ฮ่องสอน!I32"")"),0)</f>
        <v>0</v>
      </c>
      <c r="J92" s="142">
        <f ca="1">IFERROR(__xludf.DUMMYFUNCTION("IMPORTRANGE(""https://docs.google.com/spreadsheets/d/11923uPwbBZFjjGgGUA6NLw09EwE0CqkOc4q9oUmW1yo/edit?usp=sharing"",""แม่ฮ่องสอน!J32"")"),0)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IFERROR(__xludf.DUMMYFUNCTION("IMPORTRANGE(""https://docs.google.com/spreadsheets/d/11923uPwbBZFjjGgGUA6NLw09EwE0CqkOc4q9oUmW1yo/edit?usp=sharing"",""แม่ฮ่องสอน!I33"")"),0)</f>
        <v>0</v>
      </c>
      <c r="J93" s="142">
        <f ca="1">IFERROR(__xludf.DUMMYFUNCTION("IMPORTRANGE(""https://docs.google.com/spreadsheets/d/11923uPwbBZFjjGgGUA6NLw09EwE0CqkOc4q9oUmW1yo/edit?usp=sharing"",""แม่ฮ่องสอน!J33"")"),0)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IFERROR(__xludf.DUMMYFUNCTION("IMPORTRANGE(""https://docs.google.com/spreadsheets/d/1Yj_ptqi66GCucihVvJfMjLAmec39IyEx_6qawtMGysU/edit?usp=sharing"",""สบก!AR31"")"),0)</f>
        <v>0</v>
      </c>
      <c r="N98" s="168">
        <f ca="1">IFERROR(__xludf.DUMMYFUNCTION("IMPORTRANGE(""https://docs.google.com/spreadsheets/d/1Yj_ptqi66GCucihVvJfMjLAmec39IyEx_6qawtMGysU/edit?usp=sharing"",""สบก!AS31"")"),0)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IFERROR(__xludf.DUMMYFUNCTION("IMPORTRANGE(""https://docs.google.com/spreadsheets/d/1Yj_ptqi66GCucihVvJfMjLAmec39IyEx_6qawtMGysU/edit?usp=sharing"",""สบก!AN31"")"),0)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IFERROR(__xludf.DUMMYFUNCTION("IMPORTRANGE(""https://docs.google.com/spreadsheets/d/1Yj_ptqi66GCucihVvJfMjLAmec39IyEx_6qawtMGysU/edit?usp=sharing"",""สบก!AO31"")"),0)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IFERROR(__xludf.DUMMYFUNCTION("IMPORTRANGE(""https://docs.google.com/spreadsheets/d/1Yj_ptqi66GCucihVvJfMjLAmec39IyEx_6qawtMGysU/edit?usp=sharing"",""สบก!AP31"")"),0)</f>
        <v>0</v>
      </c>
      <c r="M102" s="50"/>
      <c r="N102" s="50">
        <f ca="1">IFERROR(__xludf.DUMMYFUNCTION("IMPORTRANGE(""https://docs.google.com/spreadsheets/d/1Yj_ptqi66GCucihVvJfMjLAmec39IyEx_6qawtMGysU/edit?usp=sharing"",""สบก!AT31"")"),0)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IFERROR(__xludf.DUMMYFUNCTION("IMPORTRANGE(""https://docs.google.com/spreadsheets/d/11923uPwbBZFjjGgGUA6NLw09EwE0CqkOc4q9oUmW1yo/edit?usp=sharing"",""แม่ฮ่องสอน!J39"")"),0)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IFERROR(__xludf.DUMMYFUNCTION("IMPORTRANGE(""https://docs.google.com/spreadsheets/d/11923uPwbBZFjjGgGUA6NLw09EwE0CqkOc4q9oUmW1yo/edit?usp=sharing"",""แม่ฮ่องสอน!J40"")"),0)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IFERROR(__xludf.DUMMYFUNCTION("IMPORTRANGE(""https://docs.google.com/spreadsheets/d/11923uPwbBZFjjGgGUA6NLw09EwE0CqkOc4q9oUmW1yo/edit?usp=sharing"",""แม่ฮ่องสอน!J41"")"),0)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IFERROR(__xludf.DUMMYFUNCTION("IMPORTRANGE(""https://docs.google.com/spreadsheets/d/11923uPwbBZFjjGgGUA6NLw09EwE0CqkOc4q9oUmW1yo/edit?usp=sharing"",""แม่ฮ่องสอน!J42"")"),0)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IFERROR(__xludf.DUMMYFUNCTION("IMPORTRANGE(""https://docs.google.com/spreadsheets/d/11923uPwbBZFjjGgGUA6NLw09EwE0CqkOc4q9oUmW1yo/edit?usp=sharing"",""แม่ฮ่องสอน!I43"")"),0)</f>
        <v>0</v>
      </c>
      <c r="J108" s="203">
        <f ca="1">IFERROR(__xludf.DUMMYFUNCTION("IMPORTRANGE(""https://docs.google.com/spreadsheets/d/11923uPwbBZFjjGgGUA6NLw09EwE0CqkOc4q9oUmW1yo/edit?usp=sharing"",""แม่ฮ่องสอน!J43"")"),0)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IFERROR(__xludf.DUMMYFUNCTION("IMPORTRANGE(""https://docs.google.com/spreadsheets/d/11923uPwbBZFjjGgGUA6NLw09EwE0CqkOc4q9oUmW1yo/edit?usp=sharing"",""แม่ฮ่องสอน!I44"")"),0)</f>
        <v>0</v>
      </c>
      <c r="J109" s="203">
        <f ca="1">IFERROR(__xludf.DUMMYFUNCTION("IMPORTRANGE(""https://docs.google.com/spreadsheets/d/11923uPwbBZFjjGgGUA6NLw09EwE0CqkOc4q9oUmW1yo/edit?usp=sharing"",""แม่ฮ่องสอน!J44"")"),0)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IFERROR(__xludf.DUMMYFUNCTION("IMPORTRANGE(""https://docs.google.com/spreadsheets/d/11923uPwbBZFjjGgGUA6NLw09EwE0CqkOc4q9oUmW1yo/edit?usp=sharing"",""แม่ฮ่องสอน!I45"")"),0)</f>
        <v>0</v>
      </c>
      <c r="J110" s="203">
        <f ca="1">IFERROR(__xludf.DUMMYFUNCTION("IMPORTRANGE(""https://docs.google.com/spreadsheets/d/11923uPwbBZFjjGgGUA6NLw09EwE0CqkOc4q9oUmW1yo/edit?usp=sharing"",""แม่ฮ่องสอน!J45"")"),0)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IFERROR(__xludf.DUMMYFUNCTION("IMPORTRANGE(""https://docs.google.com/spreadsheets/d/11923uPwbBZFjjGgGUA6NLw09EwE0CqkOc4q9oUmW1yo/edit?usp=sharing"",""แม่ฮ่องสอน!I46"")"),0)</f>
        <v>0</v>
      </c>
      <c r="J111" s="203">
        <f ca="1">IFERROR(__xludf.DUMMYFUNCTION("IMPORTRANGE(""https://docs.google.com/spreadsheets/d/11923uPwbBZFjjGgGUA6NLw09EwE0CqkOc4q9oUmW1yo/edit?usp=sharing"",""แม่ฮ่องสอน!J46"")"),0)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IFERROR(__xludf.DUMMYFUNCTION("IMPORTRANGE(""https://docs.google.com/spreadsheets/d/11923uPwbBZFjjGgGUA6NLw09EwE0CqkOc4q9oUmW1yo/edit?usp=sharing"",""แม่ฮ่องสอน!I47"")"),0)</f>
        <v>0</v>
      </c>
      <c r="J112" s="203">
        <f ca="1">IFERROR(__xludf.DUMMYFUNCTION("IMPORTRANGE(""https://docs.google.com/spreadsheets/d/11923uPwbBZFjjGgGUA6NLw09EwE0CqkOc4q9oUmW1yo/edit?usp=sharing"",""แม่ฮ่องสอน!J47"")"),0)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IFERROR(__xludf.DUMMYFUNCTION("IMPORTRANGE(""https://docs.google.com/spreadsheets/d/11923uPwbBZFjjGgGUA6NLw09EwE0CqkOc4q9oUmW1yo/edit?usp=sharing"",""แม่ฮ่องสอน!I48"")"),0)</f>
        <v>0</v>
      </c>
      <c r="J113" s="203">
        <f ca="1">IFERROR(__xludf.DUMMYFUNCTION("IMPORTRANGE(""https://docs.google.com/spreadsheets/d/11923uPwbBZFjjGgGUA6NLw09EwE0CqkOc4q9oUmW1yo/edit?usp=sharing"",""แม่ฮ่องสอน!J48"")"),0)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IFERROR(__xludf.DUMMYFUNCTION("IMPORTRANGE(""https://docs.google.com/spreadsheets/d/11923uPwbBZFjjGgGUA6NLw09EwE0CqkOc4q9oUmW1yo/edit?usp=sharing"",""แม่ฮ่องสอน!J49"")"),0)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IFERROR(__xludf.DUMMYFUNCTION("IMPORTRANGE(""https://docs.google.com/spreadsheets/d/11923uPwbBZFjjGgGUA6NLw09EwE0CqkOc4q9oUmW1yo/edit?usp=sharing"",""แม่ฮ่องสอน!J50"")"),0)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IFERROR(__xludf.DUMMYFUNCTION("IMPORTRANGE(""https://docs.google.com/spreadsheets/d/11923uPwbBZFjjGgGUA6NLw09EwE0CqkOc4q9oUmW1yo/edit?usp=sharing"",""แม่ฮ่องสอน!I52"")"),20)</f>
        <v>20</v>
      </c>
      <c r="J117" s="142">
        <f ca="1">IFERROR(__xludf.DUMMYFUNCTION("IMPORTRANGE(""https://docs.google.com/spreadsheets/d/11923uPwbBZFjjGgGUA6NLw09EwE0CqkOc4q9oUmW1yo/edit?usp=sharing"",""แม่ฮ่องสอน!J52"")"),20)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63865</v>
      </c>
      <c r="O118" s="151">
        <f t="shared" ref="O118:O120" ca="1" si="59">IF(L118&gt;0,N118*100/L118,0)</f>
        <v>77.468461911693353</v>
      </c>
      <c r="P118" s="151">
        <f t="shared" ref="P118:P120" ca="1" si="60">IF(M118&gt;0,N118*100/M118,0)</f>
        <v>77.468461911693353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63865</v>
      </c>
      <c r="O120" s="156">
        <f t="shared" ca="1" si="59"/>
        <v>77.468461911693353</v>
      </c>
      <c r="P120" s="156">
        <f t="shared" ca="1" si="60"/>
        <v>77.468461911693353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IFERROR(__xludf.DUMMYFUNCTION("IMPORTRANGE(""https://docs.google.com/spreadsheets/d/1Yj_ptqi66GCucihVvJfMjLAmec39IyEx_6qawtMGysU/edit?usp=sharing"",""สบก!BA31"")"),82440)</f>
        <v>82440</v>
      </c>
      <c r="N122" s="168">
        <f ca="1">IFERROR(__xludf.DUMMYFUNCTION("IMPORTRANGE(""https://docs.google.com/spreadsheets/d/1Yj_ptqi66GCucihVvJfMjLAmec39IyEx_6qawtMGysU/edit?usp=sharing"",""สบก!BB31"")"),63865)</f>
        <v>63865</v>
      </c>
      <c r="O122" s="168">
        <f ca="1">IF(L122&gt;0,N122*100/L122,0)</f>
        <v>77.468461911693353</v>
      </c>
      <c r="P122" s="168">
        <f ca="1">IF(M122&gt;0,N122*100/M122,0)</f>
        <v>77.468461911693353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IFERROR(__xludf.DUMMYFUNCTION("IMPORTRANGE(""https://docs.google.com/spreadsheets/d/1Yj_ptqi66GCucihVvJfMjLAmec39IyEx_6qawtMGysU/edit?usp=sharing"",""สบก!AW31"")"),0)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IFERROR(__xludf.DUMMYFUNCTION("IMPORTRANGE(""https://docs.google.com/spreadsheets/d/1Yj_ptqi66GCucihVvJfMjLAmec39IyEx_6qawtMGysU/edit?usp=sharing"",""สบก!AX31"")"),82440)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IFERROR(__xludf.DUMMYFUNCTION("IMPORTRANGE(""https://docs.google.com/spreadsheets/d/1Yj_ptqi66GCucihVvJfMjLAmec39IyEx_6qawtMGysU/edit?usp=sharing"",""สบก!AY31"")"),0)</f>
        <v>0</v>
      </c>
      <c r="M126" s="50"/>
      <c r="N126" s="50">
        <f ca="1">IFERROR(__xludf.DUMMYFUNCTION("IMPORTRANGE(""https://docs.google.com/spreadsheets/d/1Yj_ptqi66GCucihVvJfMjLAmec39IyEx_6qawtMGysU/edit?usp=sharing"",""สบก!BC31"")"),0)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IFERROR(__xludf.DUMMYFUNCTION("IMPORTRANGE(""https://docs.google.com/spreadsheets/d/11923uPwbBZFjjGgGUA6NLw09EwE0CqkOc4q9oUmW1yo/edit?usp=sharing"",""แม่ฮ่องสอน!J58"")"),0)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IFERROR(__xludf.DUMMYFUNCTION("IMPORTRANGE(""https://docs.google.com/spreadsheets/d/11923uPwbBZFjjGgGUA6NLw09EwE0CqkOc4q9oUmW1yo/edit?usp=sharing"",""แม่ฮ่องสอน!J59"")"),1)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IFERROR(__xludf.DUMMYFUNCTION("IMPORTRANGE(""https://docs.google.com/spreadsheets/d/11923uPwbBZFjjGgGUA6NLw09EwE0CqkOc4q9oUmW1yo/edit?usp=sharing"",""แม่ฮ่องสอน!J60"")"),1)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IFERROR(__xludf.DUMMYFUNCTION("IMPORTRANGE(""https://docs.google.com/spreadsheets/d/11923uPwbBZFjjGgGUA6NLw09EwE0CqkOc4q9oUmW1yo/edit?usp=sharing"",""แม่ฮ่องสอน!J61"")"),1)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IFERROR(__xludf.DUMMYFUNCTION("IMPORTRANGE(""https://docs.google.com/spreadsheets/d/11923uPwbBZFjjGgGUA6NLw09EwE0CqkOc4q9oUmW1yo/edit?usp=sharing"",""แม่ฮ่องสอน!I62"")"),20)</f>
        <v>20</v>
      </c>
      <c r="J132" s="203">
        <f ca="1">IFERROR(__xludf.DUMMYFUNCTION("IMPORTRANGE(""https://docs.google.com/spreadsheets/d/11923uPwbBZFjjGgGUA6NLw09EwE0CqkOc4q9oUmW1yo/edit?usp=sharing"",""แม่ฮ่องสอน!J62"")"),20)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IFERROR(__xludf.DUMMYFUNCTION("IMPORTRANGE(""https://docs.google.com/spreadsheets/d/11923uPwbBZFjjGgGUA6NLw09EwE0CqkOc4q9oUmW1yo/edit?usp=sharing"",""แม่ฮ่องสอน!I63"")"),20)</f>
        <v>20</v>
      </c>
      <c r="J133" s="203">
        <f ca="1">IFERROR(__xludf.DUMMYFUNCTION("IMPORTRANGE(""https://docs.google.com/spreadsheets/d/11923uPwbBZFjjGgGUA6NLw09EwE0CqkOc4q9oUmW1yo/edit?usp=sharing"",""แม่ฮ่องสอน!J63"")"),20)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IFERROR(__xludf.DUMMYFUNCTION("IMPORTRANGE(""https://docs.google.com/spreadsheets/d/11923uPwbBZFjjGgGUA6NLw09EwE0CqkOc4q9oUmW1yo/edit?usp=sharing"",""แม่ฮ่องสอน!J64"")"),0)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IFERROR(__xludf.DUMMYFUNCTION("IMPORTRANGE(""https://docs.google.com/spreadsheets/d/11923uPwbBZFjjGgGUA6NLw09EwE0CqkOc4q9oUmW1yo/edit?usp=sharing"",""แม่ฮ่องสอน!J65"")"),0)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IFERROR(__xludf.DUMMYFUNCTION("IMPORTRANGE(""https://docs.google.com/spreadsheets/d/11923uPwbBZFjjGgGUA6NLw09EwE0CqkOc4q9oUmW1yo/edit?usp=sharing"",""แม่ฮ่องสอน!I68"")"),0)</f>
        <v>0</v>
      </c>
      <c r="J138" s="267">
        <f ca="1">IFERROR(__xludf.DUMMYFUNCTION("IMPORTRANGE(""https://docs.google.com/spreadsheets/d/11923uPwbBZFjjGgGUA6NLw09EwE0CqkOc4q9oUmW1yo/edit?usp=sharing"",""แม่ฮ่องสอน!J68"")"),0)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69500</v>
      </c>
      <c r="M140" s="152">
        <f t="shared" ca="1" si="64"/>
        <v>123600</v>
      </c>
      <c r="N140" s="152">
        <f t="shared" ca="1" si="64"/>
        <v>95378</v>
      </c>
      <c r="O140" s="151">
        <f t="shared" ref="O140:O142" ca="1" si="65">IF(L140&gt;0,N140*100/L140,0)</f>
        <v>137.23453237410072</v>
      </c>
      <c r="P140" s="151">
        <f t="shared" ref="P140:P142" ca="1" si="66">IF(M140&gt;0,N140*100/M140,0)</f>
        <v>77.166666666666671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69500</v>
      </c>
      <c r="M142" s="88">
        <f t="shared" ca="1" si="68"/>
        <v>123600</v>
      </c>
      <c r="N142" s="88">
        <f t="shared" ca="1" si="68"/>
        <v>95378</v>
      </c>
      <c r="O142" s="156">
        <f t="shared" ca="1" si="65"/>
        <v>137.23453237410072</v>
      </c>
      <c r="P142" s="156">
        <f t="shared" ca="1" si="66"/>
        <v>77.166666666666671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69500</v>
      </c>
      <c r="M144" s="167">
        <f ca="1">IFERROR(__xludf.DUMMYFUNCTION("IMPORTRANGE(""https://docs.google.com/spreadsheets/d/1Yj_ptqi66GCucihVvJfMjLAmec39IyEx_6qawtMGysU/edit?usp=sharing"",""สบก!BJ31"")"),123600)</f>
        <v>123600</v>
      </c>
      <c r="N144" s="168">
        <f ca="1">IFERROR(__xludf.DUMMYFUNCTION("IMPORTRANGE(""https://docs.google.com/spreadsheets/d/1Yj_ptqi66GCucihVvJfMjLAmec39IyEx_6qawtMGysU/edit?usp=sharing"",""สบก!BK31"")"),95378)</f>
        <v>95378</v>
      </c>
      <c r="O144" s="168">
        <f ca="1">IF(L144&gt;0,N144*100/L144,0)</f>
        <v>137.23453237410072</v>
      </c>
      <c r="P144" s="168">
        <f ca="1">IF(M144&gt;0,N144*100/M144,0)</f>
        <v>77.166666666666671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IFERROR(__xludf.DUMMYFUNCTION("IMPORTRANGE(""https://docs.google.com/spreadsheets/d/1Yj_ptqi66GCucihVvJfMjLAmec39IyEx_6qawtMGysU/edit?usp=sharing"",""สบก!BF31"")"),0)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IFERROR(__xludf.DUMMYFUNCTION("IMPORTRANGE(""https://docs.google.com/spreadsheets/d/1Yj_ptqi66GCucihVvJfMjLAmec39IyEx_6qawtMGysU/edit?usp=sharing"",""สบก!BG31"")"),69500)</f>
        <v>69500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IFERROR(__xludf.DUMMYFUNCTION("IMPORTRANGE(""https://docs.google.com/spreadsheets/d/1Yj_ptqi66GCucihVvJfMjLAmec39IyEx_6qawtMGysU/edit?usp=sharing"",""สบก!BH31"")"),0)</f>
        <v>0</v>
      </c>
      <c r="M148" s="50"/>
      <c r="N148" s="50">
        <f ca="1">IFERROR(__xludf.DUMMYFUNCTION("IMPORTRANGE(""https://docs.google.com/spreadsheets/d/1Yj_ptqi66GCucihVvJfMjLAmec39IyEx_6qawtMGysU/edit?usp=sharing"",""สบก!BL31"")"),0)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IFERROR(__xludf.DUMMYFUNCTION("IMPORTRANGE(""https://docs.google.com/spreadsheets/d/11923uPwbBZFjjGgGUA6NLw09EwE0CqkOc4q9oUmW1yo/edit?usp=sharing"",""แม่ฮ่องสอน!I74"")"),4)</f>
        <v>4</v>
      </c>
      <c r="J149" s="275">
        <f ca="1">IFERROR(__xludf.DUMMYFUNCTION("IMPORTRANGE(""https://docs.google.com/spreadsheets/d/11923uPwbBZFjjGgGUA6NLw09EwE0CqkOc4q9oUmW1yo/edit?usp=sharing"",""แม่ฮ่องสอน!J74"")"),3)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IFERROR(__xludf.DUMMYFUNCTION("IMPORTRANGE(""https://docs.google.com/spreadsheets/d/11923uPwbBZFjjGgGUA6NLw09EwE0CqkOc4q9oUmW1yo/edit?usp=sharing"",""แม่ฮ่องสอน!J79"")"),0)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IFERROR(__xludf.DUMMYFUNCTION("IMPORTRANGE(""https://docs.google.com/spreadsheets/d/11923uPwbBZFjjGgGUA6NLw09EwE0CqkOc4q9oUmW1yo/edit?usp=sharing"",""แม่ฮ่องสอน!J80"")"),1)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IFERROR(__xludf.DUMMYFUNCTION("IMPORTRANGE(""https://docs.google.com/spreadsheets/d/11923uPwbBZFjjGgGUA6NLw09EwE0CqkOc4q9oUmW1yo/edit?usp=sharing"",""แม่ฮ่องสอน!J81"")"),1)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IFERROR(__xludf.DUMMYFUNCTION("IMPORTRANGE(""https://docs.google.com/spreadsheets/d/11923uPwbBZFjjGgGUA6NLw09EwE0CqkOc4q9oUmW1yo/edit?usp=sharing"",""แม่ฮ่องสอน!J82"")"),1)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IFERROR(__xludf.DUMMYFUNCTION("IMPORTRANGE(""https://docs.google.com/spreadsheets/d/11923uPwbBZFjjGgGUA6NLw09EwE0CqkOc4q9oUmW1yo/edit?usp=sharing"",""แม่ฮ่องสอน!I83"")"),4)</f>
        <v>4</v>
      </c>
      <c r="J158" s="188">
        <f ca="1">IFERROR(__xludf.DUMMYFUNCTION("IMPORTRANGE(""https://docs.google.com/spreadsheets/d/11923uPwbBZFjjGgGUA6NLw09EwE0CqkOc4q9oUmW1yo/edit?usp=sharing"",""แม่ฮ่องสอน!J83"")"),3)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IFERROR(__xludf.DUMMYFUNCTION("IMPORTRANGE(""https://docs.google.com/spreadsheets/d/11923uPwbBZFjjGgGUA6NLw09EwE0CqkOc4q9oUmW1yo/edit?usp=sharing"",""แม่ฮ่องสอน!J84"")"),82)</f>
        <v>82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IFERROR(__xludf.DUMMYFUNCTION("IMPORTRANGE(""https://docs.google.com/spreadsheets/d/11923uPwbBZFjjGgGUA6NLw09EwE0CqkOc4q9oUmW1yo/edit?usp=sharing"",""แม่ฮ่องสอน!J85"")"),82)</f>
        <v>82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IFERROR(__xludf.DUMMYFUNCTION("IMPORTRANGE(""https://docs.google.com/spreadsheets/d/11923uPwbBZFjjGgGUA6NLw09EwE0CqkOc4q9oUmW1yo/edit?usp=sharing"",""แม่ฮ่องสอน!J86"")"),0)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IFERROR(__xludf.DUMMYFUNCTION("IMPORTRANGE(""https://docs.google.com/spreadsheets/d/11923uPwbBZFjjGgGUA6NLw09EwE0CqkOc4q9oUmW1yo/edit?usp=sharing"",""แม่ฮ่องสอน!J87"")"),0)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IFERROR(__xludf.DUMMYFUNCTION("IMPORTRANGE(""https://docs.google.com/spreadsheets/d/11923uPwbBZFjjGgGUA6NLw09EwE0CqkOc4q9oUmW1yo/edit?usp=sharing"",""แม่ฮ่องสอน!J88"")"),0)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IFERROR(__xludf.DUMMYFUNCTION("IMPORTRANGE(""https://docs.google.com/spreadsheets/d/11923uPwbBZFjjGgGUA6NLw09EwE0CqkOc4q9oUmW1yo/edit?usp=sharing"",""แม่ฮ่องสอน!I89"")"),2)</f>
        <v>2</v>
      </c>
      <c r="J164" s="284">
        <f ca="1">IFERROR(__xludf.DUMMYFUNCTION("IMPORTRANGE(""https://docs.google.com/spreadsheets/d/11923uPwbBZFjjGgGUA6NLw09EwE0CqkOc4q9oUmW1yo/edit?usp=sharing"",""แม่ฮ่องสอน!J89"")"),2)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IFERROR(__xludf.DUMMYFUNCTION("IMPORTRANGE(""https://docs.google.com/spreadsheets/d/11923uPwbBZFjjGgGUA6NLw09EwE0CqkOc4q9oUmW1yo/edit?usp=sharing"",""แม่ฮ่องสอน!J94"")"),0)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IFERROR(__xludf.DUMMYFUNCTION("IMPORTRANGE(""https://docs.google.com/spreadsheets/d/11923uPwbBZFjjGgGUA6NLw09EwE0CqkOc4q9oUmW1yo/edit?usp=sharing"",""แม่ฮ่องสอน!J95"")"),1)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IFERROR(__xludf.DUMMYFUNCTION("IMPORTRANGE(""https://docs.google.com/spreadsheets/d/11923uPwbBZFjjGgGUA6NLw09EwE0CqkOc4q9oUmW1yo/edit?usp=sharing"",""แม่ฮ่องสอน!J96"")"),1)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IFERROR(__xludf.DUMMYFUNCTION("IMPORTRANGE(""https://docs.google.com/spreadsheets/d/11923uPwbBZFjjGgGUA6NLw09EwE0CqkOc4q9oUmW1yo/edit?usp=sharing"",""แม่ฮ่องสอน!J97"")"),1)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IFERROR(__xludf.DUMMYFUNCTION("IMPORTRANGE(""https://docs.google.com/spreadsheets/d/11923uPwbBZFjjGgGUA6NLw09EwE0CqkOc4q9oUmW1yo/edit?usp=sharing"",""แม่ฮ่องสอน!I98"")"),2)</f>
        <v>2</v>
      </c>
      <c r="J173" s="188">
        <f ca="1">IFERROR(__xludf.DUMMYFUNCTION("IMPORTRANGE(""https://docs.google.com/spreadsheets/d/11923uPwbBZFjjGgGUA6NLw09EwE0CqkOc4q9oUmW1yo/edit?usp=sharing"",""แม่ฮ่องสอน!J98"")"),2)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IFERROR(__xludf.DUMMYFUNCTION("IMPORTRANGE(""https://docs.google.com/spreadsheets/d/11923uPwbBZFjjGgGUA6NLw09EwE0CqkOc4q9oUmW1yo/edit?usp=sharing"",""แม่ฮ่องสอน!J99"")"),0)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IFERROR(__xludf.DUMMYFUNCTION("IMPORTRANGE(""https://docs.google.com/spreadsheets/d/11923uPwbBZFjjGgGUA6NLw09EwE0CqkOc4q9oUmW1yo/edit?usp=sharing"",""แม่ฮ่องสอน!J100"")"),0)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IFERROR(__xludf.DUMMYFUNCTION("IMPORTRANGE(""https://docs.google.com/spreadsheets/d/11923uPwbBZFjjGgGUA6NLw09EwE0CqkOc4q9oUmW1yo/edit?usp=sharing"",""แม่ฮ่องสอน!I101"")"),0)</f>
        <v>0</v>
      </c>
      <c r="J176" s="284">
        <f ca="1">IFERROR(__xludf.DUMMYFUNCTION("IMPORTRANGE(""https://docs.google.com/spreadsheets/d/11923uPwbBZFjjGgGUA6NLw09EwE0CqkOc4q9oUmW1yo/edit?usp=sharing"",""แม่ฮ่องสอน!J101"")"),0)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IFERROR(__xludf.DUMMYFUNCTION("IMPORTRANGE(""https://docs.google.com/spreadsheets/d/11923uPwbBZFjjGgGUA6NLw09EwE0CqkOc4q9oUmW1yo/edit?usp=sharing"",""แม่ฮ่องสอน!J106"")"),0)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IFERROR(__xludf.DUMMYFUNCTION("IMPORTRANGE(""https://docs.google.com/spreadsheets/d/11923uPwbBZFjjGgGUA6NLw09EwE0CqkOc4q9oUmW1yo/edit?usp=sharing"",""แม่ฮ่องสอน!J107"")"),0)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IFERROR(__xludf.DUMMYFUNCTION("IMPORTRANGE(""https://docs.google.com/spreadsheets/d/11923uPwbBZFjjGgGUA6NLw09EwE0CqkOc4q9oUmW1yo/edit?usp=sharing"",""แม่ฮ่องสอน!J108"")"),0)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IFERROR(__xludf.DUMMYFUNCTION("IMPORTRANGE(""https://docs.google.com/spreadsheets/d/11923uPwbBZFjjGgGUA6NLw09EwE0CqkOc4q9oUmW1yo/edit?usp=sharing"",""แม่ฮ่องสอน!J109"")"),0)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IFERROR(__xludf.DUMMYFUNCTION("IMPORTRANGE(""https://docs.google.com/spreadsheets/d/11923uPwbBZFjjGgGUA6NLw09EwE0CqkOc4q9oUmW1yo/edit?usp=sharing"",""แม่ฮ่องสอน!I110"")"),0)</f>
        <v>0</v>
      </c>
      <c r="J185" s="203">
        <f ca="1">IFERROR(__xludf.DUMMYFUNCTION("IMPORTRANGE(""https://docs.google.com/spreadsheets/d/11923uPwbBZFjjGgGUA6NLw09EwE0CqkOc4q9oUmW1yo/edit?usp=sharing"",""แม่ฮ่องสอน!J110"")"),0)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IFERROR(__xludf.DUMMYFUNCTION("IMPORTRANGE(""https://docs.google.com/spreadsheets/d/11923uPwbBZFjjGgGUA6NLw09EwE0CqkOc4q9oUmW1yo/edit?usp=sharing"",""แม่ฮ่องสอน!I111"")"),0)</f>
        <v>0</v>
      </c>
      <c r="J186" s="203">
        <f ca="1">IFERROR(__xludf.DUMMYFUNCTION("IMPORTRANGE(""https://docs.google.com/spreadsheets/d/11923uPwbBZFjjGgGUA6NLw09EwE0CqkOc4q9oUmW1yo/edit?usp=sharing"",""แม่ฮ่องสอน!J111"")"),0)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IFERROR(__xludf.DUMMYFUNCTION("IMPORTRANGE(""https://docs.google.com/spreadsheets/d/11923uPwbBZFjjGgGUA6NLw09EwE0CqkOc4q9oUmW1yo/edit?usp=sharing"",""แม่ฮ่องสอน!J112"")"),0)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IFERROR(__xludf.DUMMYFUNCTION("IMPORTRANGE(""https://docs.google.com/spreadsheets/d/11923uPwbBZFjjGgGUA6NLw09EwE0CqkOc4q9oUmW1yo/edit?usp=sharing"",""แม่ฮ่องสอน!J113"")"),0)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IFERROR(__xludf.DUMMYFUNCTION("IMPORTRANGE(""https://docs.google.com/spreadsheets/d/11923uPwbBZFjjGgGUA6NLw09EwE0CqkOc4q9oUmW1yo/edit?usp=sharing"",""แม่ฮ่องสอน!I114"")"),100000)</f>
        <v>100000</v>
      </c>
      <c r="J189" s="284">
        <f ca="1">IFERROR(__xludf.DUMMYFUNCTION("IMPORTRANGE(""https://docs.google.com/spreadsheets/d/11923uPwbBZFjjGgGUA6NLw09EwE0CqkOc4q9oUmW1yo/edit?usp=sharing"",""แม่ฮ่องสอน!J114"")"),0)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IFERROR(__xludf.DUMMYFUNCTION("IMPORTRANGE(""https://docs.google.com/spreadsheets/d/11923uPwbBZFjjGgGUA6NLw09EwE0CqkOc4q9oUmW1yo/edit?usp=sharing"",""แม่ฮ่องสอน!J119"")"),0)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IFERROR(__xludf.DUMMYFUNCTION("IMPORTRANGE(""https://docs.google.com/spreadsheets/d/11923uPwbBZFjjGgGUA6NLw09EwE0CqkOc4q9oUmW1yo/edit?usp=sharing"",""แม่ฮ่องสอน!J120"")"),1)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IFERROR(__xludf.DUMMYFUNCTION("IMPORTRANGE(""https://docs.google.com/spreadsheets/d/11923uPwbBZFjjGgGUA6NLw09EwE0CqkOc4q9oUmW1yo/edit?usp=sharing"",""แม่ฮ่องสอน!J121"")"),1)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IFERROR(__xludf.DUMMYFUNCTION("IMPORTRANGE(""https://docs.google.com/spreadsheets/d/11923uPwbBZFjjGgGUA6NLw09EwE0CqkOc4q9oUmW1yo/edit?usp=sharing"",""แม่ฮ่องสอน!J122"")"),1)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8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88">
        <f ca="1">IFERROR(__xludf.DUMMYFUNCTION("IMPORTRANGE(""https://docs.google.com/spreadsheets/d/11923uPwbBZFjjGgGUA6NLw09EwE0CqkOc4q9oUmW1yo/edit?usp=sharing"",""แม่ฮ่องสอน!J125"")"),0)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IFERROR(__xludf.DUMMYFUNCTION("IMPORTRANGE(""https://docs.google.com/spreadsheets/d/11923uPwbBZFjjGgGUA6NLw09EwE0CqkOc4q9oUmW1yo/edit?usp=sharing"",""แม่ฮ่องสอน!I126"")"),0)</f>
        <v>0</v>
      </c>
      <c r="J201" s="188">
        <f ca="1">IFERROR(__xludf.DUMMYFUNCTION("IMPORTRANGE(""https://docs.google.com/spreadsheets/d/11923uPwbBZFjjGgGUA6NLw09EwE0CqkOc4q9oUmW1yo/edit?usp=sharing"",""แม่ฮ่องสอน!J126"")"),0)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IFERROR(__xludf.DUMMYFUNCTION("IMPORTRANGE(""https://docs.google.com/spreadsheets/d/11923uPwbBZFjjGgGUA6NLw09EwE0CqkOc4q9oUmW1yo/edit?usp=sharing"",""แม่ฮ่องสอน!J127"")"),0)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IFERROR(__xludf.DUMMYFUNCTION("IMPORTRANGE(""https://docs.google.com/spreadsheets/d/11923uPwbBZFjjGgGUA6NLw09EwE0CqkOc4q9oUmW1yo/edit?usp=sharing"",""แม่ฮ่องสอน!J128"")"),0)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IFERROR(__xludf.DUMMYFUNCTION("IMPORTRANGE(""https://docs.google.com/spreadsheets/d/11923uPwbBZFjjGgGUA6NLw09EwE0CqkOc4q9oUmW1yo/edit?usp=sharing"",""แม่ฮ่องสอน!I129"")"),0)</f>
        <v>0</v>
      </c>
      <c r="J204" s="284">
        <f ca="1">IFERROR(__xludf.DUMMYFUNCTION("IMPORTRANGE(""https://docs.google.com/spreadsheets/d/11923uPwbBZFjjGgGUA6NLw09EwE0CqkOc4q9oUmW1yo/edit?usp=sharing"",""แม่ฮ่องสอน!J129"")"),0)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IFERROR(__xludf.DUMMYFUNCTION("IMPORTRANGE(""https://docs.google.com/spreadsheets/d/11923uPwbBZFjjGgGUA6NLw09EwE0CqkOc4q9oUmW1yo/edit?usp=sharing"",""แม่ฮ่องสอน!J134"")"),0)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IFERROR(__xludf.DUMMYFUNCTION("IMPORTRANGE(""https://docs.google.com/spreadsheets/d/11923uPwbBZFjjGgGUA6NLw09EwE0CqkOc4q9oUmW1yo/edit?usp=sharing"",""แม่ฮ่องสอน!J135"")"),0)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IFERROR(__xludf.DUMMYFUNCTION("IMPORTRANGE(""https://docs.google.com/spreadsheets/d/11923uPwbBZFjjGgGUA6NLw09EwE0CqkOc4q9oUmW1yo/edit?usp=sharing"",""แม่ฮ่องสอน!J136"")"),0)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IFERROR(__xludf.DUMMYFUNCTION("IMPORTRANGE(""https://docs.google.com/spreadsheets/d/11923uPwbBZFjjGgGUA6NLw09EwE0CqkOc4q9oUmW1yo/edit?usp=sharing"",""แม่ฮ่องสอน!J137"")"),0)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IFERROR(__xludf.DUMMYFUNCTION("IMPORTRANGE(""https://docs.google.com/spreadsheets/d/11923uPwbBZFjjGgGUA6NLw09EwE0CqkOc4q9oUmW1yo/edit?usp=sharing"",""แม่ฮ่องสอน!I138"")"),0)</f>
        <v>0</v>
      </c>
      <c r="J213" s="203">
        <f ca="1">IFERROR(__xludf.DUMMYFUNCTION("IMPORTRANGE(""https://docs.google.com/spreadsheets/d/11923uPwbBZFjjGgGUA6NLw09EwE0CqkOc4q9oUmW1yo/edit?usp=sharing"",""แม่ฮ่องสอน!J138"")"),0)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IFERROR(__xludf.DUMMYFUNCTION("IMPORTRANGE(""https://docs.google.com/spreadsheets/d/11923uPwbBZFjjGgGUA6NLw09EwE0CqkOc4q9oUmW1yo/edit?usp=sharing"",""แม่ฮ่องสอน!I140"")"),0)</f>
        <v>0</v>
      </c>
      <c r="J215" s="203">
        <f ca="1">IFERROR(__xludf.DUMMYFUNCTION("IMPORTRANGE(""https://docs.google.com/spreadsheets/d/11923uPwbBZFjjGgGUA6NLw09EwE0CqkOc4q9oUmW1yo/edit?usp=sharing"",""แม่ฮ่องสอน!J140"")"),0)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IFERROR(__xludf.DUMMYFUNCTION("IMPORTRANGE(""https://docs.google.com/spreadsheets/d/11923uPwbBZFjjGgGUA6NLw09EwE0CqkOc4q9oUmW1yo/edit?usp=sharing"",""แม่ฮ่องสอน!I141"")"),0)</f>
        <v>0</v>
      </c>
      <c r="J216" s="203">
        <f ca="1">IFERROR(__xludf.DUMMYFUNCTION("IMPORTRANGE(""https://docs.google.com/spreadsheets/d/11923uPwbBZFjjGgGUA6NLw09EwE0CqkOc4q9oUmW1yo/edit?usp=sharing"",""แม่ฮ่องสอน!J141"")"),0)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IFERROR(__xludf.DUMMYFUNCTION("IMPORTRANGE(""https://docs.google.com/spreadsheets/d/11923uPwbBZFjjGgGUA6NLw09EwE0CqkOc4q9oUmW1yo/edit?usp=sharing"",""แม่ฮ่องสอน!J142"")"),0)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IFERROR(__xludf.DUMMYFUNCTION("IMPORTRANGE(""https://docs.google.com/spreadsheets/d/11923uPwbBZFjjGgGUA6NLw09EwE0CqkOc4q9oUmW1yo/edit?usp=sharing"",""แม่ฮ่องสอน!J143"")"),0)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IFERROR(__xludf.DUMMYFUNCTION("IMPORTRANGE(""https://docs.google.com/spreadsheets/d/11923uPwbBZFjjGgGUA6NLw09EwE0CqkOc4q9oUmW1yo/edit?usp=sharing"",""แม่ฮ่องสอน!I144"")"),13)</f>
        <v>13</v>
      </c>
      <c r="J219" s="267">
        <f ca="1">IFERROR(__xludf.DUMMYFUNCTION("IMPORTRANGE(""https://docs.google.com/spreadsheets/d/11923uPwbBZFjjGgGUA6NLw09EwE0CqkOc4q9oUmW1yo/edit?usp=sharing"",""แม่ฮ่องสอน!J144"")"),13)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IFERROR(__xludf.DUMMYFUNCTION("IMPORTRANGE(""https://docs.google.com/spreadsheets/d/1Yj_ptqi66GCucihVvJfMjLAmec39IyEx_6qawtMGysU/edit?usp=sharing"",""สบก!BS31"")"),19295)</f>
        <v>19295</v>
      </c>
      <c r="N224" s="168">
        <f ca="1">IFERROR(__xludf.DUMMYFUNCTION("IMPORTRANGE(""https://docs.google.com/spreadsheets/d/1Yj_ptqi66GCucihVvJfMjLAmec39IyEx_6qawtMGysU/edit?usp=sharing"",""สบก!BT31"")"),19295)</f>
        <v>19295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IFERROR(__xludf.DUMMYFUNCTION("IMPORTRANGE(""https://docs.google.com/spreadsheets/d/1Yj_ptqi66GCucihVvJfMjLAmec39IyEx_6qawtMGysU/edit?usp=sharing"",""สบก!BO31"")"),0)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IFERROR(__xludf.DUMMYFUNCTION("IMPORTRANGE(""https://docs.google.com/spreadsheets/d/1Yj_ptqi66GCucihVvJfMjLAmec39IyEx_6qawtMGysU/edit?usp=sharing"",""สบก!BP31"")"),19295)</f>
        <v>19295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IFERROR(__xludf.DUMMYFUNCTION("IMPORTRANGE(""https://docs.google.com/spreadsheets/d/1Yj_ptqi66GCucihVvJfMjLAmec39IyEx_6qawtMGysU/edit?usp=sharing"",""สบก!BQ31"")"),0)</f>
        <v>0</v>
      </c>
      <c r="M228" s="50"/>
      <c r="N228" s="50">
        <f ca="1">IFERROR(__xludf.DUMMYFUNCTION("IMPORTRANGE(""https://docs.google.com/spreadsheets/d/1Yj_ptqi66GCucihVvJfMjLAmec39IyEx_6qawtMGysU/edit?usp=sharing"",""สบก!BU31"")"),0)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IFERROR(__xludf.DUMMYFUNCTION("IMPORTRANGE(""https://docs.google.com/spreadsheets/d/11923uPwbBZFjjGgGUA6NLw09EwE0CqkOc4q9oUmW1yo/edit?usp=sharing"",""แม่ฮ่องสอน!I149"")"),13)</f>
        <v>13</v>
      </c>
      <c r="J229" s="267">
        <f ca="1">IFERROR(__xludf.DUMMYFUNCTION("IMPORTRANGE(""https://docs.google.com/spreadsheets/d/11923uPwbBZFjjGgGUA6NLw09EwE0CqkOc4q9oUmW1yo/edit?usp=sharing"",""แม่ฮ่องสอน!J149"")"),13)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IFERROR(__xludf.DUMMYFUNCTION("IMPORTRANGE(""https://docs.google.com/spreadsheets/d/11923uPwbBZFjjGgGUA6NLw09EwE0CqkOc4q9oUmW1yo/edit?usp=sharing"",""แม่ฮ่องสอน!J151"")"),0)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IFERROR(__xludf.DUMMYFUNCTION("IMPORTRANGE(""https://docs.google.com/spreadsheets/d/11923uPwbBZFjjGgGUA6NLw09EwE0CqkOc4q9oUmW1yo/edit?usp=sharing"",""แม่ฮ่องสอน!J152"")"),0)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IFERROR(__xludf.DUMMYFUNCTION("IMPORTRANGE(""https://docs.google.com/spreadsheets/d/11923uPwbBZFjjGgGUA6NLw09EwE0CqkOc4q9oUmW1yo/edit?usp=sharing"",""แม่ฮ่องสอน!J153"")"),0)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IFERROR(__xludf.DUMMYFUNCTION("IMPORTRANGE(""https://docs.google.com/spreadsheets/d/11923uPwbBZFjjGgGUA6NLw09EwE0CqkOc4q9oUmW1yo/edit?usp=sharing"",""แม่ฮ่องสอน!J154"")"),0)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IFERROR(__xludf.DUMMYFUNCTION("IMPORTRANGE(""https://docs.google.com/spreadsheets/d/11923uPwbBZFjjGgGUA6NLw09EwE0CqkOc4q9oUmW1yo/edit?usp=sharing"",""แม่ฮ่องสอน!I155"")"),13)</f>
        <v>13</v>
      </c>
      <c r="J235" s="188">
        <f ca="1">IFERROR(__xludf.DUMMYFUNCTION("IMPORTRANGE(""https://docs.google.com/spreadsheets/d/11923uPwbBZFjjGgGUA6NLw09EwE0CqkOc4q9oUmW1yo/edit?usp=sharing"",""แม่ฮ่องสอน!J155"")"),13)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IFERROR(__xludf.DUMMYFUNCTION("IMPORTRANGE(""https://docs.google.com/spreadsheets/d/11923uPwbBZFjjGgGUA6NLw09EwE0CqkOc4q9oUmW1yo/edit?usp=sharing"",""แม่ฮ่องสอน!J156"")"),1)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IFERROR(__xludf.DUMMYFUNCTION("IMPORTRANGE(""https://docs.google.com/spreadsheets/d/11923uPwbBZFjjGgGUA6NLw09EwE0CqkOc4q9oUmW1yo/edit?usp=sharing"",""แม่ฮ่องสอน!J157"")"),1)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IFERROR(__xludf.DUMMYFUNCTION("IMPORTRANGE(""https://docs.google.com/spreadsheets/d/11923uPwbBZFjjGgGUA6NLw09EwE0CqkOc4q9oUmW1yo/edit?usp=sharing"",""แม่ฮ่องสอน!I158"")"),0)</f>
        <v>0</v>
      </c>
      <c r="J238" s="267">
        <f ca="1">IFERROR(__xludf.DUMMYFUNCTION("IMPORTRANGE(""https://docs.google.com/spreadsheets/d/11923uPwbBZFjjGgGUA6NLw09EwE0CqkOc4q9oUmW1yo/edit?usp=sharing"",""แม่ฮ่องสอน!J158"")"),0)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IFERROR(__xludf.DUMMYFUNCTION("IMPORTRANGE(""https://docs.google.com/spreadsheets/d/11923uPwbBZFjjGgGUA6NLw09EwE0CqkOc4q9oUmW1yo/edit?usp=sharing"",""แม่ฮ่องสอน!J159"")"),"")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IFERROR(__xludf.DUMMYFUNCTION("IMPORTRANGE(""https://docs.google.com/spreadsheets/d/11923uPwbBZFjjGgGUA6NLw09EwE0CqkOc4q9oUmW1yo/edit?usp=sharing"",""แม่ฮ่องสอน!J161"")"),0)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IFERROR(__xludf.DUMMYFUNCTION("IMPORTRANGE(""https://docs.google.com/spreadsheets/d/11923uPwbBZFjjGgGUA6NLw09EwE0CqkOc4q9oUmW1yo/edit?usp=sharing"",""แม่ฮ่องสอน!J162"")"),0)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IFERROR(__xludf.DUMMYFUNCTION("IMPORTRANGE(""https://docs.google.com/spreadsheets/d/11923uPwbBZFjjGgGUA6NLw09EwE0CqkOc4q9oUmW1yo/edit?usp=sharing"",""แม่ฮ่องสอน!J163"")"),0)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IFERROR(__xludf.DUMMYFUNCTION("IMPORTRANGE(""https://docs.google.com/spreadsheets/d/11923uPwbBZFjjGgGUA6NLw09EwE0CqkOc4q9oUmW1yo/edit?usp=sharing"",""แม่ฮ่องสอน!I164"")"),0)</f>
        <v>0</v>
      </c>
      <c r="J244" s="187">
        <f ca="1">IFERROR(__xludf.DUMMYFUNCTION("IMPORTRANGE(""https://docs.google.com/spreadsheets/d/11923uPwbBZFjjGgGUA6NLw09EwE0CqkOc4q9oUmW1yo/edit?usp=sharing"",""แม่ฮ่องสอน!J164"")"),0)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IFERROR(__xludf.DUMMYFUNCTION("IMPORTRANGE(""https://docs.google.com/spreadsheets/d/11923uPwbBZFjjGgGUA6NLw09EwE0CqkOc4q9oUmW1yo/edit?usp=sharing"",""แม่ฮ่องสอน!J165"")"),0)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IFERROR(__xludf.DUMMYFUNCTION("IMPORTRANGE(""https://docs.google.com/spreadsheets/d/11923uPwbBZFjjGgGUA6NLw09EwE0CqkOc4q9oUmW1yo/edit?usp=sharing"",""แม่ฮ่องสอน!J166"")"),0)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IFERROR(__xludf.DUMMYFUNCTION("IMPORTRANGE(""https://docs.google.com/spreadsheets/d/11923uPwbBZFjjGgGUA6NLw09EwE0CqkOc4q9oUmW1yo/edit?usp=sharing"",""แม่ฮ่องสอน!I169"")"),0)</f>
        <v>0</v>
      </c>
      <c r="J249" s="316">
        <f ca="1">IFERROR(__xludf.DUMMYFUNCTION("IMPORTRANGE(""https://docs.google.com/spreadsheets/d/11923uPwbBZFjjGgGUA6NLw09EwE0CqkOc4q9oUmW1yo/edit?usp=sharing"",""แม่ฮ่องสอน!J169"")"),0)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IFERROR(__xludf.DUMMYFUNCTION("IMPORTRANGE(""https://docs.google.com/spreadsheets/d/1Yj_ptqi66GCucihVvJfMjLAmec39IyEx_6qawtMGysU/edit?usp=sharing"",""สบก!CB31"")"),0)</f>
        <v>0</v>
      </c>
      <c r="N254" s="168">
        <f ca="1">IFERROR(__xludf.DUMMYFUNCTION("IMPORTRANGE(""https://docs.google.com/spreadsheets/d/1Yj_ptqi66GCucihVvJfMjLAmec39IyEx_6qawtMGysU/edit?usp=sharing"",""สบก!CC31"")"),0)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IFERROR(__xludf.DUMMYFUNCTION("IMPORTRANGE(""https://docs.google.com/spreadsheets/d/1Yj_ptqi66GCucihVvJfMjLAmec39IyEx_6qawtMGysU/edit?usp=sharing"",""สบก!BX31"")"),0)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IFERROR(__xludf.DUMMYFUNCTION("IMPORTRANGE(""https://docs.google.com/spreadsheets/d/1Yj_ptqi66GCucihVvJfMjLAmec39IyEx_6qawtMGysU/edit?usp=sharing"",""สบก!BY31"")"),0)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IFERROR(__xludf.DUMMYFUNCTION("IMPORTRANGE(""https://docs.google.com/spreadsheets/d/1Yj_ptqi66GCucihVvJfMjLAmec39IyEx_6qawtMGysU/edit?usp=sharing"",""สบก!BZ31"")"),0)</f>
        <v>0</v>
      </c>
      <c r="M258" s="50"/>
      <c r="N258" s="50">
        <f ca="1">IFERROR(__xludf.DUMMYFUNCTION("IMPORTRANGE(""https://docs.google.com/spreadsheets/d/1Yj_ptqi66GCucihVvJfMjLAmec39IyEx_6qawtMGysU/edit?usp=sharing"",""สบก!CD31"")"),0)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IFERROR(__xludf.DUMMYFUNCTION("IMPORTRANGE(""https://docs.google.com/spreadsheets/d/11923uPwbBZFjjGgGUA6NLw09EwE0CqkOc4q9oUmW1yo/edit?usp=sharing"",""แม่ฮ่องสอน!J175"")"),0)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IFERROR(__xludf.DUMMYFUNCTION("IMPORTRANGE(""https://docs.google.com/spreadsheets/d/11923uPwbBZFjjGgGUA6NLw09EwE0CqkOc4q9oUmW1yo/edit?usp=sharing"",""แม่ฮ่องสอน!J176"")"),0)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IFERROR(__xludf.DUMMYFUNCTION("IMPORTRANGE(""https://docs.google.com/spreadsheets/d/11923uPwbBZFjjGgGUA6NLw09EwE0CqkOc4q9oUmW1yo/edit?usp=sharing"",""แม่ฮ่องสอน!J177"")"),0)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IFERROR(__xludf.DUMMYFUNCTION("IMPORTRANGE(""https://docs.google.com/spreadsheets/d/11923uPwbBZFjjGgGUA6NLw09EwE0CqkOc4q9oUmW1yo/edit?usp=sharing"",""แม่ฮ่องสอน!J178"")"),0)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IFERROR(__xludf.DUMMYFUNCTION("IMPORTRANGE(""https://docs.google.com/spreadsheets/d/11923uPwbBZFjjGgGUA6NLw09EwE0CqkOc4q9oUmW1yo/edit?usp=sharing"",""แม่ฮ่องสอน!I179"")"),0)</f>
        <v>0</v>
      </c>
      <c r="J264" s="188">
        <f ca="1">IFERROR(__xludf.DUMMYFUNCTION("IMPORTRANGE(""https://docs.google.com/spreadsheets/d/11923uPwbBZFjjGgGUA6NLw09EwE0CqkOc4q9oUmW1yo/edit?usp=sharing"",""แม่ฮ่องสอน!J179"")"),0)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IFERROR(__xludf.DUMMYFUNCTION("IMPORTRANGE(""https://docs.google.com/spreadsheets/d/11923uPwbBZFjjGgGUA6NLw09EwE0CqkOc4q9oUmW1yo/edit?usp=sharing"",""แม่ฮ่องสอน!I180"")"),0)</f>
        <v>0</v>
      </c>
      <c r="J265" s="188">
        <f ca="1">IFERROR(__xludf.DUMMYFUNCTION("IMPORTRANGE(""https://docs.google.com/spreadsheets/d/11923uPwbBZFjjGgGUA6NLw09EwE0CqkOc4q9oUmW1yo/edit?usp=sharing"",""แม่ฮ่องสอน!J180"")"),0)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IFERROR(__xludf.DUMMYFUNCTION("IMPORTRANGE(""https://docs.google.com/spreadsheets/d/11923uPwbBZFjjGgGUA6NLw09EwE0CqkOc4q9oUmW1yo/edit?usp=sharing"",""แม่ฮ่องสอน!I181"")"),0)</f>
        <v>0</v>
      </c>
      <c r="J266" s="188">
        <f ca="1">IFERROR(__xludf.DUMMYFUNCTION("IMPORTRANGE(""https://docs.google.com/spreadsheets/d/11923uPwbBZFjjGgGUA6NLw09EwE0CqkOc4q9oUmW1yo/edit?usp=sharing"",""แม่ฮ่องสอน!J181"")"),0)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IFERROR(__xludf.DUMMYFUNCTION("IMPORTRANGE(""https://docs.google.com/spreadsheets/d/11923uPwbBZFjjGgGUA6NLw09EwE0CqkOc4q9oUmW1yo/edit?usp=sharing"",""แม่ฮ่องสอน!I182"")"),0)</f>
        <v>0</v>
      </c>
      <c r="J267" s="188">
        <f ca="1">IFERROR(__xludf.DUMMYFUNCTION("IMPORTRANGE(""https://docs.google.com/spreadsheets/d/11923uPwbBZFjjGgGUA6NLw09EwE0CqkOc4q9oUmW1yo/edit?usp=sharing"",""แม่ฮ่องสอน!J182"")"),0)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IFERROR(__xludf.DUMMYFUNCTION("IMPORTRANGE(""https://docs.google.com/spreadsheets/d/11923uPwbBZFjjGgGUA6NLw09EwE0CqkOc4q9oUmW1yo/edit?usp=sharing"",""แม่ฮ่องสอน!J183"")"),0)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IFERROR(__xludf.DUMMYFUNCTION("IMPORTRANGE(""https://docs.google.com/spreadsheets/d/11923uPwbBZFjjGgGUA6NLw09EwE0CqkOc4q9oUmW1yo/edit?usp=sharing"",""แม่ฮ่องสอน!J184"")"),0)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IFERROR(__xludf.DUMMYFUNCTION("IMPORTRANGE(""https://docs.google.com/spreadsheets/d/11923uPwbBZFjjGgGUA6NLw09EwE0CqkOc4q9oUmW1yo/edit?usp=sharing"",""แม่ฮ่องสอน!I185"")"),15)</f>
        <v>15</v>
      </c>
      <c r="J270" s="316">
        <f ca="1">IFERROR(__xludf.DUMMYFUNCTION("IMPORTRANGE(""https://docs.google.com/spreadsheets/d/11923uPwbBZFjjGgGUA6NLw09EwE0CqkOc4q9oUmW1yo/edit?usp=sharing"",""แม่ฮ่องสอน!J185"")"),15)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187200</v>
      </c>
      <c r="N271" s="152">
        <f t="shared" ca="1" si="83"/>
        <v>144296</v>
      </c>
      <c r="O271" s="151">
        <f t="shared" ref="O271:O273" ca="1" si="84">IF(L271&gt;0,N271*100/L271,0)</f>
        <v>77.081196581196579</v>
      </c>
      <c r="P271" s="151">
        <f t="shared" ref="P271:P273" ca="1" si="85">IF(M271&gt;0,N271*100/M271,0)</f>
        <v>77.081196581196579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187200</v>
      </c>
      <c r="N273" s="88">
        <f t="shared" ca="1" si="87"/>
        <v>144296</v>
      </c>
      <c r="O273" s="156">
        <f t="shared" ca="1" si="84"/>
        <v>77.081196581196579</v>
      </c>
      <c r="P273" s="156">
        <f t="shared" ca="1" si="85"/>
        <v>77.081196581196579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IFERROR(__xludf.DUMMYFUNCTION("IMPORTRANGE(""https://docs.google.com/spreadsheets/d/1Yj_ptqi66GCucihVvJfMjLAmec39IyEx_6qawtMGysU/edit?usp=sharing"",""สบก!CK31"")"),187200)</f>
        <v>187200</v>
      </c>
      <c r="N275" s="168">
        <f ca="1">IFERROR(__xludf.DUMMYFUNCTION("IMPORTRANGE(""https://docs.google.com/spreadsheets/d/1Yj_ptqi66GCucihVvJfMjLAmec39IyEx_6qawtMGysU/edit?usp=sharing"",""สบก!CL31"")"),144296)</f>
        <v>144296</v>
      </c>
      <c r="O275" s="168">
        <f ca="1">IF(L275&gt;0,N275*100/L275,0)</f>
        <v>77.081196581196579</v>
      </c>
      <c r="P275" s="168">
        <f ca="1">IF(M275&gt;0,N275*100/M275,0)</f>
        <v>77.081196581196579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IFERROR(__xludf.DUMMYFUNCTION("IMPORTRANGE(""https://docs.google.com/spreadsheets/d/1Yj_ptqi66GCucihVvJfMjLAmec39IyEx_6qawtMGysU/edit?usp=sharing"",""สบก!CG31"")"),132000)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IFERROR(__xludf.DUMMYFUNCTION("IMPORTRANGE(""https://docs.google.com/spreadsheets/d/1Yj_ptqi66GCucihVvJfMjLAmec39IyEx_6qawtMGysU/edit?usp=sharing"",""สบก!CH31"")"),55200)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IFERROR(__xludf.DUMMYFUNCTION("IMPORTRANGE(""https://docs.google.com/spreadsheets/d/1Yj_ptqi66GCucihVvJfMjLAmec39IyEx_6qawtMGysU/edit?usp=sharing"",""สบก!CI31"")"),0)</f>
        <v>0</v>
      </c>
      <c r="M279" s="50"/>
      <c r="N279" s="50">
        <f ca="1">IFERROR(__xludf.DUMMYFUNCTION("IMPORTRANGE(""https://docs.google.com/spreadsheets/d/1Yj_ptqi66GCucihVvJfMjLAmec39IyEx_6qawtMGysU/edit?usp=sharing"",""สบก!CM31"")"),0)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IFERROR(__xludf.DUMMYFUNCTION("IMPORTRANGE(""https://docs.google.com/spreadsheets/d/11923uPwbBZFjjGgGUA6NLw09EwE0CqkOc4q9oUmW1yo/edit?usp=sharing"",""แม่ฮ่องสอน!J191"")"),0)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IFERROR(__xludf.DUMMYFUNCTION("IMPORTRANGE(""https://docs.google.com/spreadsheets/d/11923uPwbBZFjjGgGUA6NLw09EwE0CqkOc4q9oUmW1yo/edit?usp=sharing"",""แม่ฮ่องสอน!J192"")"),1)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IFERROR(__xludf.DUMMYFUNCTION("IMPORTRANGE(""https://docs.google.com/spreadsheets/d/11923uPwbBZFjjGgGUA6NLw09EwE0CqkOc4q9oUmW1yo/edit?usp=sharing"",""แม่ฮ่องสอน!J193"")"),1)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IFERROR(__xludf.DUMMYFUNCTION("IMPORTRANGE(""https://docs.google.com/spreadsheets/d/11923uPwbBZFjjGgGUA6NLw09EwE0CqkOc4q9oUmW1yo/edit?usp=sharing"",""แม่ฮ่องสอน!J194"")"),1)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IFERROR(__xludf.DUMMYFUNCTION("IMPORTRANGE(""https://docs.google.com/spreadsheets/d/11923uPwbBZFjjGgGUA6NLw09EwE0CqkOc4q9oUmW1yo/edit?usp=sharing"",""แม่ฮ่องสอน!I195"")"),15)</f>
        <v>15</v>
      </c>
      <c r="J285" s="188">
        <f ca="1">IFERROR(__xludf.DUMMYFUNCTION("IMPORTRANGE(""https://docs.google.com/spreadsheets/d/11923uPwbBZFjjGgGUA6NLw09EwE0CqkOc4q9oUmW1yo/edit?usp=sharing"",""แม่ฮ่องสอน!J195"")"),15)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IFERROR(__xludf.DUMMYFUNCTION("IMPORTRANGE(""https://docs.google.com/spreadsheets/d/11923uPwbBZFjjGgGUA6NLw09EwE0CqkOc4q9oUmW1yo/edit?usp=sharing"",""แม่ฮ่องสอน!J196"")"),0)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IFERROR(__xludf.DUMMYFUNCTION("IMPORTRANGE(""https://docs.google.com/spreadsheets/d/11923uPwbBZFjjGgGUA6NLw09EwE0CqkOc4q9oUmW1yo/edit?usp=sharing"",""แม่ฮ่องสอน!J197"")"),0)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IFERROR(__xludf.DUMMYFUNCTION("IMPORTRANGE(""https://docs.google.com/spreadsheets/d/11923uPwbBZFjjGgGUA6NLw09EwE0CqkOc4q9oUmW1yo/edit?usp=sharing"",""แม่ฮ่องสอน!I199"")"),0)</f>
        <v>0</v>
      </c>
      <c r="J289" s="316">
        <f ca="1">IFERROR(__xludf.DUMMYFUNCTION("IMPORTRANGE(""https://docs.google.com/spreadsheets/d/11923uPwbBZFjjGgGUA6NLw09EwE0CqkOc4q9oUmW1yo/edit?usp=sharing"",""แม่ฮ่องสอน!J199"")"),0)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IFERROR(__xludf.DUMMYFUNCTION("IMPORTRANGE(""https://docs.google.com/spreadsheets/d/1Yj_ptqi66GCucihVvJfMjLAmec39IyEx_6qawtMGysU/edit?usp=sharing"",""สบก!CT31"")"),0)</f>
        <v>0</v>
      </c>
      <c r="N294" s="168">
        <f ca="1">IFERROR(__xludf.DUMMYFUNCTION("IMPORTRANGE(""https://docs.google.com/spreadsheets/d/1Yj_ptqi66GCucihVvJfMjLAmec39IyEx_6qawtMGysU/edit?usp=sharing"",""สบก!CU31"")"),0)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IFERROR(__xludf.DUMMYFUNCTION("IMPORTRANGE(""https://docs.google.com/spreadsheets/d/1Yj_ptqi66GCucihVvJfMjLAmec39IyEx_6qawtMGysU/edit?usp=sharing"",""สบก!CP31"")"),0)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IFERROR(__xludf.DUMMYFUNCTION("IMPORTRANGE(""https://docs.google.com/spreadsheets/d/1Yj_ptqi66GCucihVvJfMjLAmec39IyEx_6qawtMGysU/edit?usp=sharing"",""สบก!CQ31"")"),0)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IFERROR(__xludf.DUMMYFUNCTION("IMPORTRANGE(""https://docs.google.com/spreadsheets/d/1Yj_ptqi66GCucihVvJfMjLAmec39IyEx_6qawtMGysU/edit?usp=sharing"",""สบก!CR31"")"),0)</f>
        <v>0</v>
      </c>
      <c r="M298" s="50"/>
      <c r="N298" s="50">
        <f ca="1">IFERROR(__xludf.DUMMYFUNCTION("IMPORTRANGE(""https://docs.google.com/spreadsheets/d/1Yj_ptqi66GCucihVvJfMjLAmec39IyEx_6qawtMGysU/edit?usp=sharing"",""สบก!CV31"")"),0)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IFERROR(__xludf.DUMMYFUNCTION("IMPORTRANGE(""https://docs.google.com/spreadsheets/d/11923uPwbBZFjjGgGUA6NLw09EwE0CqkOc4q9oUmW1yo/edit?usp=sharing"",""แม่ฮ่องสอน!J205"")"),0)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IFERROR(__xludf.DUMMYFUNCTION("IMPORTRANGE(""https://docs.google.com/spreadsheets/d/11923uPwbBZFjjGgGUA6NLw09EwE0CqkOc4q9oUmW1yo/edit?usp=sharing"",""แม่ฮ่องสอน!J206"")"),0)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IFERROR(__xludf.DUMMYFUNCTION("IMPORTRANGE(""https://docs.google.com/spreadsheets/d/11923uPwbBZFjjGgGUA6NLw09EwE0CqkOc4q9oUmW1yo/edit?usp=sharing"",""แม่ฮ่องสอน!J207"")"),0)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IFERROR(__xludf.DUMMYFUNCTION("IMPORTRANGE(""https://docs.google.com/spreadsheets/d/11923uPwbBZFjjGgGUA6NLw09EwE0CqkOc4q9oUmW1yo/edit?usp=sharing"",""แม่ฮ่องสอน!J208"")"),0)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IFERROR(__xludf.DUMMYFUNCTION("IMPORTRANGE(""https://docs.google.com/spreadsheets/d/11923uPwbBZFjjGgGUA6NLw09EwE0CqkOc4q9oUmW1yo/edit?usp=sharing"",""แม่ฮ่องสอน!I209"")"),0)</f>
        <v>0</v>
      </c>
      <c r="J304" s="203">
        <f ca="1">IFERROR(__xludf.DUMMYFUNCTION("IMPORTRANGE(""https://docs.google.com/spreadsheets/d/11923uPwbBZFjjGgGUA6NLw09EwE0CqkOc4q9oUmW1yo/edit?usp=sharing"",""แม่ฮ่องสอน!J209"")"),0)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IFERROR(__xludf.DUMMYFUNCTION("IMPORTRANGE(""https://docs.google.com/spreadsheets/d/11923uPwbBZFjjGgGUA6NLw09EwE0CqkOc4q9oUmW1yo/edit?usp=sharing"",""แม่ฮ่องสอน!I211"")"),0)</f>
        <v>0</v>
      </c>
      <c r="J306" s="203">
        <f ca="1">IFERROR(__xludf.DUMMYFUNCTION("IMPORTRANGE(""https://docs.google.com/spreadsheets/d/11923uPwbBZFjjGgGUA6NLw09EwE0CqkOc4q9oUmW1yo/edit?usp=sharing"",""แม่ฮ่องสอน!J211"")"),0)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IFERROR(__xludf.DUMMYFUNCTION("IMPORTRANGE(""https://docs.google.com/spreadsheets/d/11923uPwbBZFjjGgGUA6NLw09EwE0CqkOc4q9oUmW1yo/edit?usp=sharing"",""แม่ฮ่องสอน!J212"")"),0)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IFERROR(__xludf.DUMMYFUNCTION("IMPORTRANGE(""https://docs.google.com/spreadsheets/d/11923uPwbBZFjjGgGUA6NLw09EwE0CqkOc4q9oUmW1yo/edit?usp=sharing"",""แม่ฮ่องสอน!J213"")"),0)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IFERROR(__xludf.DUMMYFUNCTION("IMPORTRANGE(""https://docs.google.com/spreadsheets/d/11923uPwbBZFjjGgGUA6NLw09EwE0CqkOc4q9oUmW1yo/edit?usp=sharing"",""แม่ฮ่องสอน!I214"")"),0)</f>
        <v>0</v>
      </c>
      <c r="J309" s="333">
        <f ca="1">IFERROR(__xludf.DUMMYFUNCTION("IMPORTRANGE(""https://docs.google.com/spreadsheets/d/11923uPwbBZFjjGgGUA6NLw09EwE0CqkOc4q9oUmW1yo/edit?usp=sharing"",""แม่ฮ่องสอน!J214"")"),0)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IFERROR(__xludf.DUMMYFUNCTION("IMPORTRANGE(""https://docs.google.com/spreadsheets/d/1Yj_ptqi66GCucihVvJfMjLAmec39IyEx_6qawtMGysU/edit?usp=sharing"",""สบก!DC31"")"),0)</f>
        <v>0</v>
      </c>
      <c r="N314" s="168">
        <f ca="1">IFERROR(__xludf.DUMMYFUNCTION("IMPORTRANGE(""https://docs.google.com/spreadsheets/d/1Yj_ptqi66GCucihVvJfMjLAmec39IyEx_6qawtMGysU/edit?usp=sharing"",""สบก!DD31"")"),0)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IFERROR(__xludf.DUMMYFUNCTION("IMPORTRANGE(""https://docs.google.com/spreadsheets/d/1Yj_ptqi66GCucihVvJfMjLAmec39IyEx_6qawtMGysU/edit?usp=sharing"",""สบก!CY31"")"),0)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IFERROR(__xludf.DUMMYFUNCTION("IMPORTRANGE(""https://docs.google.com/spreadsheets/d/1Yj_ptqi66GCucihVvJfMjLAmec39IyEx_6qawtMGysU/edit?usp=sharing"",""สบก!CZ31"")"),0)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IFERROR(__xludf.DUMMYFUNCTION("IMPORTRANGE(""https://docs.google.com/spreadsheets/d/1Yj_ptqi66GCucihVvJfMjLAmec39IyEx_6qawtMGysU/edit?usp=sharing"",""สบก!DA31"")"),0)</f>
        <v>0</v>
      </c>
      <c r="M318" s="50"/>
      <c r="N318" s="50">
        <f ca="1">IFERROR(__xludf.DUMMYFUNCTION("IMPORTRANGE(""https://docs.google.com/spreadsheets/d/1Yj_ptqi66GCucihVvJfMjLAmec39IyEx_6qawtMGysU/edit?usp=sharing"",""สบก!DE31"")"),0)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IFERROR(__xludf.DUMMYFUNCTION("IMPORTRANGE(""https://docs.google.com/spreadsheets/d/11923uPwbBZFjjGgGUA6NLw09EwE0CqkOc4q9oUmW1yo/edit?usp=sharing"",""แม่ฮ่องสอน!J220"")"),0)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IFERROR(__xludf.DUMMYFUNCTION("IMPORTRANGE(""https://docs.google.com/spreadsheets/d/11923uPwbBZFjjGgGUA6NLw09EwE0CqkOc4q9oUmW1yo/edit?usp=sharing"",""แม่ฮ่องสอน!J221"")"),0)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IFERROR(__xludf.DUMMYFUNCTION("IMPORTRANGE(""https://docs.google.com/spreadsheets/d/11923uPwbBZFjjGgGUA6NLw09EwE0CqkOc4q9oUmW1yo/edit?usp=sharing"",""แม่ฮ่องสอน!J222"")"),0)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IFERROR(__xludf.DUMMYFUNCTION("IMPORTRANGE(""https://docs.google.com/spreadsheets/d/11923uPwbBZFjjGgGUA6NLw09EwE0CqkOc4q9oUmW1yo/edit?usp=sharing"",""แม่ฮ่องสอน!J223"")"),0)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IFERROR(__xludf.DUMMYFUNCTION("IMPORTRANGE(""https://docs.google.com/spreadsheets/d/11923uPwbBZFjjGgGUA6NLw09EwE0CqkOc4q9oUmW1yo/edit?usp=sharing"",""แม่ฮ่องสอน!I224"")"),0)</f>
        <v>0</v>
      </c>
      <c r="J324" s="203">
        <f ca="1">IFERROR(__xludf.DUMMYFUNCTION("IMPORTRANGE(""https://docs.google.com/spreadsheets/d/11923uPwbBZFjjGgGUA6NLw09EwE0CqkOc4q9oUmW1yo/edit?usp=sharing"",""แม่ฮ่องสอน!J224"")"),0)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IFERROR(__xludf.DUMMYFUNCTION("IMPORTRANGE(""https://docs.google.com/spreadsheets/d/11923uPwbBZFjjGgGUA6NLw09EwE0CqkOc4q9oUmW1yo/edit?usp=sharing"",""แม่ฮ่องสอน!J225"")"),0)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IFERROR(__xludf.DUMMYFUNCTION("IMPORTRANGE(""https://docs.google.com/spreadsheets/d/11923uPwbBZFjjGgGUA6NLw09EwE0CqkOc4q9oUmW1yo/edit?usp=sharing"",""แม่ฮ่องสอน!J226"")"),0)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IFERROR(__xludf.DUMMYFUNCTION("IMPORTRANGE(""https://docs.google.com/spreadsheets/d/11923uPwbBZFjjGgGUA6NLw09EwE0CqkOc4q9oUmW1yo/edit?usp=sharing"",""แม่ฮ่องสอน!I228"")"),95)</f>
        <v>95</v>
      </c>
      <c r="J328" s="339">
        <f ca="1">IFERROR(__xludf.DUMMYFUNCTION("IMPORTRANGE(""https://docs.google.com/spreadsheets/d/11923uPwbBZFjjGgGUA6NLw09EwE0CqkOc4q9oUmW1yo/edit?usp=sharing"",""แม่ฮ่องสอน!J228"")"),116)</f>
        <v>116</v>
      </c>
      <c r="K328" s="317">
        <f ca="1">IF(I328&gt;0,J328*100/I328,0)</f>
        <v>122.10526315789474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872040</v>
      </c>
      <c r="M329" s="152">
        <f t="shared" ca="1" si="98"/>
        <v>911740</v>
      </c>
      <c r="N329" s="152">
        <f t="shared" ca="1" si="98"/>
        <v>678845.3</v>
      </c>
      <c r="O329" s="151">
        <f t="shared" ref="O329:O331" ca="1" si="99">IF(L329&gt;0,N329*100/L329,0)</f>
        <v>77.845660749506905</v>
      </c>
      <c r="P329" s="151">
        <f t="shared" ref="P329:P331" ca="1" si="100">IF(M329&gt;0,N329*100/M329,0)</f>
        <v>74.456018163072812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872040</v>
      </c>
      <c r="M331" s="88">
        <f t="shared" ca="1" si="102"/>
        <v>911740</v>
      </c>
      <c r="N331" s="88">
        <f t="shared" ca="1" si="102"/>
        <v>678845.3</v>
      </c>
      <c r="O331" s="156">
        <f t="shared" ca="1" si="99"/>
        <v>77.845660749506905</v>
      </c>
      <c r="P331" s="156">
        <f t="shared" ca="1" si="100"/>
        <v>74.456018163072812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824240</v>
      </c>
      <c r="M333" s="167">
        <f ca="1">IFERROR(__xludf.DUMMYFUNCTION("IMPORTRANGE(""https://docs.google.com/spreadsheets/d/1Yj_ptqi66GCucihVvJfMjLAmec39IyEx_6qawtMGysU/edit?usp=sharing"",""สบก!DL31"")"),863940)</f>
        <v>863940</v>
      </c>
      <c r="N333" s="168">
        <f ca="1">IFERROR(__xludf.DUMMYFUNCTION("IMPORTRANGE(""https://docs.google.com/spreadsheets/d/1Yj_ptqi66GCucihVvJfMjLAmec39IyEx_6qawtMGysU/edit?usp=sharing"",""สบก!DM31"")"),631045.3)</f>
        <v>631045.30000000005</v>
      </c>
      <c r="O333" s="168">
        <f ca="1">IF(L333&gt;0,N333*100/L333,0)</f>
        <v>76.560868193729988</v>
      </c>
      <c r="P333" s="168">
        <f ca="1">IF(M333&gt;0,N333*100/M333,0)</f>
        <v>73.042722874273679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IFERROR(__xludf.DUMMYFUNCTION("IMPORTRANGE(""https://docs.google.com/spreadsheets/d/1Yj_ptqi66GCucihVvJfMjLAmec39IyEx_6qawtMGysU/edit?usp=sharing"",""สบก!DH31"")"),574800)</f>
        <v>574800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IFERROR(__xludf.DUMMYFUNCTION("IMPORTRANGE(""https://docs.google.com/spreadsheets/d/1Yj_ptqi66GCucihVvJfMjLAmec39IyEx_6qawtMGysU/edit?usp=sharing"",""สบก!DI31"")"),249440)</f>
        <v>249440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IFERROR(__xludf.DUMMYFUNCTION("IMPORTRANGE(""https://docs.google.com/spreadsheets/d/1Yj_ptqi66GCucihVvJfMjLAmec39IyEx_6qawtMGysU/edit?usp=sharing"",""สบก!DJ31"")"),47800)</f>
        <v>47800</v>
      </c>
      <c r="M337" s="50">
        <f ca="1">L337</f>
        <v>47800</v>
      </c>
      <c r="N337" s="50">
        <f ca="1">IFERROR(__xludf.DUMMYFUNCTION("IMPORTRANGE(""https://docs.google.com/spreadsheets/d/1Yj_ptqi66GCucihVvJfMjLAmec39IyEx_6qawtMGysU/edit?usp=sharing"",""สบก!DN31"")"),47800)</f>
        <v>47800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IFERROR(__xludf.DUMMYFUNCTION("IMPORTRANGE(""https://docs.google.com/spreadsheets/d/11923uPwbBZFjjGgGUA6NLw09EwE0CqkOc4q9oUmW1yo/edit?usp=sharing"",""แม่ฮ่องสอน!I234"")"),0)</f>
        <v>0</v>
      </c>
      <c r="J339" s="187">
        <f ca="1">IFERROR(__xludf.DUMMYFUNCTION("IMPORTRANGE(""https://docs.google.com/spreadsheets/d/11923uPwbBZFjjGgGUA6NLw09EwE0CqkOc4q9oUmW1yo/edit?usp=sharing"",""แม่ฮ่องสอน!J234"")"),64)</f>
        <v>64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IFERROR(__xludf.DUMMYFUNCTION("IMPORTRANGE(""https://docs.google.com/spreadsheets/d/11923uPwbBZFjjGgGUA6NLw09EwE0CqkOc4q9oUmW1yo/edit?usp=sharing"",""แม่ฮ่องสอน!I235"")"),150)</f>
        <v>150</v>
      </c>
      <c r="J340" s="187">
        <f ca="1">IFERROR(__xludf.DUMMYFUNCTION("IMPORTRANGE(""https://docs.google.com/spreadsheets/d/11923uPwbBZFjjGgGUA6NLw09EwE0CqkOc4q9oUmW1yo/edit?usp=sharing"",""แม่ฮ่องสอน!J235"")"),130.329999999999)</f>
        <v>130.32999999999899</v>
      </c>
      <c r="K340" s="342">
        <f t="shared" ca="1" si="103"/>
        <v>86.886666666665988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IFERROR(__xludf.DUMMYFUNCTION("IMPORTRANGE(""https://docs.google.com/spreadsheets/d/11923uPwbBZFjjGgGUA6NLw09EwE0CqkOc4q9oUmW1yo/edit?usp=sharing"",""แม่ฮ่องสอน!I236"")"),95)</f>
        <v>95</v>
      </c>
      <c r="J341" s="187">
        <f ca="1">IFERROR(__xludf.DUMMYFUNCTION("IMPORTRANGE(""https://docs.google.com/spreadsheets/d/11923uPwbBZFjjGgGUA6NLw09EwE0CqkOc4q9oUmW1yo/edit?usp=sharing"",""แม่ฮ่องสอน!J236"")"),122)</f>
        <v>122</v>
      </c>
      <c r="K341" s="342">
        <f t="shared" ca="1" si="103"/>
        <v>128.42105263157896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IFERROR(__xludf.DUMMYFUNCTION("IMPORTRANGE(""https://docs.google.com/spreadsheets/d/11923uPwbBZFjjGgGUA6NLw09EwE0CqkOc4q9oUmW1yo/edit?usp=sharing"",""แม่ฮ่องสอน!I237"")"),0)</f>
        <v>0</v>
      </c>
      <c r="J342" s="187">
        <f ca="1">IFERROR(__xludf.DUMMYFUNCTION("IMPORTRANGE(""https://docs.google.com/spreadsheets/d/11923uPwbBZFjjGgGUA6NLw09EwE0CqkOc4q9oUmW1yo/edit?usp=sharing"",""แม่ฮ่องสอน!J237"")"),389.24)</f>
        <v>389.24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IFERROR(__xludf.DUMMYFUNCTION("IMPORTRANGE(""https://docs.google.com/spreadsheets/d/11923uPwbBZFjjGgGUA6NLw09EwE0CqkOc4q9oUmW1yo/edit?usp=sharing"",""แม่ฮ่องสอน!I238"")"),95)</f>
        <v>95</v>
      </c>
      <c r="J343" s="187">
        <f ca="1">IFERROR(__xludf.DUMMYFUNCTION("IMPORTRANGE(""https://docs.google.com/spreadsheets/d/11923uPwbBZFjjGgGUA6NLw09EwE0CqkOc4q9oUmW1yo/edit?usp=sharing"",""แม่ฮ่องสอน!J238"")"),0)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IFERROR(__xludf.DUMMYFUNCTION("IMPORTRANGE(""https://docs.google.com/spreadsheets/d/11923uPwbBZFjjGgGUA6NLw09EwE0CqkOc4q9oUmW1yo/edit?usp=sharing"",""แม่ฮ่องสอน!I239"")"),0)</f>
        <v>0</v>
      </c>
      <c r="J344" s="187">
        <f ca="1">IFERROR(__xludf.DUMMYFUNCTION("IMPORTRANGE(""https://docs.google.com/spreadsheets/d/11923uPwbBZFjjGgGUA6NLw09EwE0CqkOc4q9oUmW1yo/edit?usp=sharing"",""แม่ฮ่องสอน!J239"")"),0)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IFERROR(__xludf.DUMMYFUNCTION("IMPORTRANGE(""https://docs.google.com/spreadsheets/d/11923uPwbBZFjjGgGUA6NLw09EwE0CqkOc4q9oUmW1yo/edit?usp=sharing"",""แม่ฮ่องสอน!I240"")"),95)</f>
        <v>95</v>
      </c>
      <c r="J345" s="187">
        <f ca="1">IFERROR(__xludf.DUMMYFUNCTION("IMPORTRANGE(""https://docs.google.com/spreadsheets/d/11923uPwbBZFjjGgGUA6NLw09EwE0CqkOc4q9oUmW1yo/edit?usp=sharing"",""แม่ฮ่องสอน!J240"")"),116)</f>
        <v>116</v>
      </c>
      <c r="K345" s="342">
        <f t="shared" ca="1" si="103"/>
        <v>122.10526315789474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IFERROR(__xludf.DUMMYFUNCTION("IMPORTRANGE(""https://docs.google.com/spreadsheets/d/11923uPwbBZFjjGgGUA6NLw09EwE0CqkOc4q9oUmW1yo/edit?usp=sharing"",""แม่ฮ่องสอน!I241"")"),0)</f>
        <v>0</v>
      </c>
      <c r="J346" s="187">
        <f ca="1">IFERROR(__xludf.DUMMYFUNCTION("IMPORTRANGE(""https://docs.google.com/spreadsheets/d/11923uPwbBZFjjGgGUA6NLw09EwE0CqkOc4q9oUmW1yo/edit?usp=sharing"",""แม่ฮ่องสอน!J241"")"),382.91)</f>
        <v>382.91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IFERROR(__xludf.DUMMYFUNCTION("IMPORTRANGE(""https://docs.google.com/spreadsheets/d/11923uPwbBZFjjGgGUA6NLw09EwE0CqkOc4q9oUmW1yo/edit?usp=sharing"",""แม่ฮ่องสอน!L242"")"),1111727)</f>
        <v>1111727</v>
      </c>
      <c r="M347" s="357"/>
      <c r="N347" s="357">
        <f ca="1">IFERROR(__xludf.DUMMYFUNCTION("IMPORTRANGE(""https://docs.google.com/spreadsheets/d/11923uPwbBZFjjGgGUA6NLw09EwE0CqkOc4q9oUmW1yo/edit?usp=sharing"",""แม่ฮ่องสอน!M242"")"),797529)</f>
        <v>797529</v>
      </c>
      <c r="O347" s="357">
        <f ca="1">+IF(L347&gt;0,N347*100/L347,0)</f>
        <v>71.737845712121768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IFERROR(__xludf.DUMMYFUNCTION("IMPORTRANGE(""https://docs.google.com/spreadsheets/d/11923uPwbBZFjjGgGUA6NLw09EwE0CqkOc4q9oUmW1yo/edit?usp=sharing"",""แม่ฮ่องสอน!I244"")"),110)</f>
        <v>110</v>
      </c>
      <c r="J349" s="370">
        <f ca="1">IFERROR(__xludf.DUMMYFUNCTION("IMPORTRANGE(""https://docs.google.com/spreadsheets/d/11923uPwbBZFjjGgGUA6NLw09EwE0CqkOc4q9oUmW1yo/edit?usp=sharing"",""แม่ฮ่องสอน!J244"")"),110)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IFERROR(__xludf.DUMMYFUNCTION("IMPORTRANGE(""https://docs.google.com/spreadsheets/d/11923uPwbBZFjjGgGUA6NLw09EwE0CqkOc4q9oUmW1yo/edit?usp=sharing"",""แม่ฮ่องสอน!L244"")"),353580)</f>
        <v>353580</v>
      </c>
      <c r="M349" s="372"/>
      <c r="N349" s="372">
        <f ca="1">IFERROR(__xludf.DUMMYFUNCTION("IMPORTRANGE(""https://docs.google.com/spreadsheets/d/11923uPwbBZFjjGgGUA6NLw09EwE0CqkOc4q9oUmW1yo/edit?usp=sharing"",""แม่ฮ่องสอน!M244"")"),282741)</f>
        <v>282741</v>
      </c>
      <c r="O349" s="372">
        <f ca="1">+IF(L349&gt;0,N349*100/L349,0)</f>
        <v>79.965212964534189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IFERROR(__xludf.DUMMYFUNCTION("IMPORTRANGE(""https://docs.google.com/spreadsheets/d/11923uPwbBZFjjGgGUA6NLw09EwE0CqkOc4q9oUmW1yo/edit?usp=sharing"",""แม่ฮ่องสอน!I245"")"),50)</f>
        <v>50</v>
      </c>
      <c r="J350" s="370">
        <f ca="1">IFERROR(__xludf.DUMMYFUNCTION("IMPORTRANGE(""https://docs.google.com/spreadsheets/d/11923uPwbBZFjjGgGUA6NLw09EwE0CqkOc4q9oUmW1yo/edit?usp=sharing"",""แม่ฮ่องสอน!J245"")"),50)</f>
        <v>50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IFERROR(__xludf.DUMMYFUNCTION("IMPORTRANGE(""https://docs.google.com/spreadsheets/d/11923uPwbBZFjjGgGUA6NLw09EwE0CqkOc4q9oUmW1yo/edit?usp=sharing"",""แม่ฮ่องสอน!L246"")"),0)</f>
        <v>0</v>
      </c>
      <c r="M351" s="164"/>
      <c r="N351" s="164">
        <f ca="1">IFERROR(__xludf.DUMMYFUNCTION("IMPORTRANGE(""https://docs.google.com/spreadsheets/d/11923uPwbBZFjjGgGUA6NLw09EwE0CqkOc4q9oUmW1yo/edit?usp=sharing"",""แม่ฮ่องสอน!M246"")"),0)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IFERROR(__xludf.DUMMYFUNCTION("IMPORTRANGE(""https://docs.google.com/spreadsheets/d/11923uPwbBZFjjGgGUA6NLw09EwE0CqkOc4q9oUmW1yo/edit?usp=sharing"",""แม่ฮ่องสอน!L247"")"),353580)</f>
        <v>353580</v>
      </c>
      <c r="M352" s="165"/>
      <c r="N352" s="164">
        <f ca="1">IFERROR(__xludf.DUMMYFUNCTION("IMPORTRANGE(""https://docs.google.com/spreadsheets/d/11923uPwbBZFjjGgGUA6NLw09EwE0CqkOc4q9oUmW1yo/edit?usp=sharing"",""แม่ฮ่องสอน!M247"")"),282741)</f>
        <v>282741</v>
      </c>
      <c r="O352" s="165">
        <f t="shared" ca="1" si="105"/>
        <v>79.965212964534189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IFERROR(__xludf.DUMMYFUNCTION("IMPORTRANGE(""https://docs.google.com/spreadsheets/d/11923uPwbBZFjjGgGUA6NLw09EwE0CqkOc4q9oUmW1yo/edit?usp=sharing"",""แม่ฮ่องสอน!L248"")"),0)</f>
        <v>0</v>
      </c>
      <c r="M353" s="168"/>
      <c r="N353" s="168">
        <f ca="1">IFERROR(__xludf.DUMMYFUNCTION("IMPORTRANGE(""https://docs.google.com/spreadsheets/d/11923uPwbBZFjjGgGUA6NLw09EwE0CqkOc4q9oUmW1yo/edit?usp=sharing"",""แม่ฮ่องสอน!M248"")"),0)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IFERROR(__xludf.DUMMYFUNCTION("IMPORTRANGE(""https://docs.google.com/spreadsheets/d/11923uPwbBZFjjGgGUA6NLw09EwE0CqkOc4q9oUmW1yo/edit?usp=sharing"",""แม่ฮ่องสอน!L249"")"),353580)</f>
        <v>353580</v>
      </c>
      <c r="M354" s="168"/>
      <c r="N354" s="167">
        <f ca="1">IFERROR(__xludf.DUMMYFUNCTION("IMPORTRANGE(""https://docs.google.com/spreadsheets/d/11923uPwbBZFjjGgGUA6NLw09EwE0CqkOc4q9oUmW1yo/edit?usp=sharing"",""แม่ฮ่องสอน!M249"")"),282741)</f>
        <v>282741</v>
      </c>
      <c r="O354" s="168">
        <f t="shared" ca="1" si="105"/>
        <v>79.965212964534189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IFERROR(__xludf.DUMMYFUNCTION("IMPORTRANGE(""https://docs.google.com/spreadsheets/d/11923uPwbBZFjjGgGUA6NLw09EwE0CqkOc4q9oUmW1yo/edit?usp=sharing"",""แม่ฮ่องสอน!M250"")"),61800)</f>
        <v>61800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IFERROR(__xludf.DUMMYFUNCTION("IMPORTRANGE(""https://docs.google.com/spreadsheets/d/11923uPwbBZFjjGgGUA6NLw09EwE0CqkOc4q9oUmW1yo/edit?usp=sharing"",""แม่ฮ่องสอน!M251"")"),105000)</f>
        <v>105000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IFERROR(__xludf.DUMMYFUNCTION("IMPORTRANGE(""https://docs.google.com/spreadsheets/d/11923uPwbBZFjjGgGUA6NLw09EwE0CqkOc4q9oUmW1yo/edit?usp=sharing"",""แม่ฮ่องสอน!M252"")"),85161)</f>
        <v>85161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IFERROR(__xludf.DUMMYFUNCTION("IMPORTRANGE(""https://docs.google.com/spreadsheets/d/11923uPwbBZFjjGgGUA6NLw09EwE0CqkOc4q9oUmW1yo/edit?usp=sharing"",""แม่ฮ่องสอน!M253"")"),30780)</f>
        <v>30780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IFERROR(__xludf.DUMMYFUNCTION("IMPORTRANGE(""https://docs.google.com/spreadsheets/d/11923uPwbBZFjjGgGUA6NLw09EwE0CqkOc4q9oUmW1yo/edit?usp=sharing"",""แม่ฮ่องสอน!J255"")"),0)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IFERROR(__xludf.DUMMYFUNCTION("IMPORTRANGE(""https://docs.google.com/spreadsheets/d/11923uPwbBZFjjGgGUA6NLw09EwE0CqkOc4q9oUmW1yo/edit?usp=sharing"",""แม่ฮ่องสอน!J256"")"),1)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IFERROR(__xludf.DUMMYFUNCTION("IMPORTRANGE(""https://docs.google.com/spreadsheets/d/11923uPwbBZFjjGgGUA6NLw09EwE0CqkOc4q9oUmW1yo/edit?usp=sharing"",""แม่ฮ่องสอน!J257"")"),1)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IFERROR(__xludf.DUMMYFUNCTION("IMPORTRANGE(""https://docs.google.com/spreadsheets/d/11923uPwbBZFjjGgGUA6NLw09EwE0CqkOc4q9oUmW1yo/edit?usp=sharing"",""แม่ฮ่องสอน!J258"")"),1)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IFERROR(__xludf.DUMMYFUNCTION("IMPORTRANGE(""https://docs.google.com/spreadsheets/d/11923uPwbBZFjjGgGUA6NLw09EwE0CqkOc4q9oUmW1yo/edit?usp=sharing"",""แม่ฮ่องสอน!J166"")"),0)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IFERROR(__xludf.DUMMYFUNCTION("IMPORTRANGE(""https://docs.google.com/spreadsheets/d/11923uPwbBZFjjGgGUA6NLw09EwE0CqkOc4q9oUmW1yo/edit?usp=sharing"",""แม่ฮ่องสอน!J166"")"),0)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IFERROR(__xludf.DUMMYFUNCTION("IMPORTRANGE(""https://docs.google.com/spreadsheets/d/11923uPwbBZFjjGgGUA6NLw09EwE0CqkOc4q9oUmW1yo/edit?usp=sharing"",""แม่ฮ่องสอน!J166"")"),0)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IFERROR(__xludf.DUMMYFUNCTION("IMPORTRANGE(""https://docs.google.com/spreadsheets/d/11923uPwbBZFjjGgGUA6NLw09EwE0CqkOc4q9oUmW1yo/edit?usp=sharing"",""แม่ฮ่องสอน!J166"")"),0)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IFERROR(__xludf.DUMMYFUNCTION("IMPORTRANGE(""https://docs.google.com/spreadsheets/d/11923uPwbBZFjjGgGUA6NLw09EwE0CqkOc4q9oUmW1yo/edit?usp=sharing"",""แม่ฮ่องสอน!I263"")"),50)</f>
        <v>50</v>
      </c>
      <c r="J368" s="187">
        <f ca="1">IFERROR(__xludf.DUMMYFUNCTION("IMPORTRANGE(""https://docs.google.com/spreadsheets/d/11923uPwbBZFjjGgGUA6NLw09EwE0CqkOc4q9oUmW1yo/edit?usp=sharing"",""แม่ฮ่องสอน!J263"")"),50)</f>
        <v>50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IFERROR(__xludf.DUMMYFUNCTION("IMPORTRANGE(""https://docs.google.com/spreadsheets/d/11923uPwbBZFjjGgGUA6NLw09EwE0CqkOc4q9oUmW1yo/edit?usp=sharing"",""แม่ฮ่องสอน!I164"")"),0)</f>
        <v>0</v>
      </c>
      <c r="J369" s="203">
        <f ca="1">IFERROR(__xludf.DUMMYFUNCTION("IMPORTRANGE(""https://docs.google.com/spreadsheets/d/11923uPwbBZFjjGgGUA6NLw09EwE0CqkOc4q9oUmW1yo/edit?usp=sharing"",""แม่ฮ่องสอน!J164"")"),0)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IFERROR(__xludf.DUMMYFUNCTION("IMPORTRANGE(""https://docs.google.com/spreadsheets/d/11923uPwbBZFjjGgGUA6NLw09EwE0CqkOc4q9oUmW1yo/edit?usp=sharing"",""แม่ฮ่องสอน!I265"")"),50)</f>
        <v>50</v>
      </c>
      <c r="J370" s="203">
        <f ca="1">IFERROR(__xludf.DUMMYFUNCTION("IMPORTRANGE(""https://docs.google.com/spreadsheets/d/11923uPwbBZFjjGgGUA6NLw09EwE0CqkOc4q9oUmW1yo/edit?usp=sharing"",""แม่ฮ่องสอน!J265"")"),0)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IFERROR(__xludf.DUMMYFUNCTION("IMPORTRANGE(""https://docs.google.com/spreadsheets/d/11923uPwbBZFjjGgGUA6NLw09EwE0CqkOc4q9oUmW1yo/edit?usp=sharing"",""แม่ฮ่องสอน!I164"")"),0)</f>
        <v>0</v>
      </c>
      <c r="J371" s="188">
        <f ca="1">IFERROR(__xludf.DUMMYFUNCTION("IMPORTRANGE(""https://docs.google.com/spreadsheets/d/11923uPwbBZFjjGgGUA6NLw09EwE0CqkOc4q9oUmW1yo/edit?usp=sharing"",""แม่ฮ่องสอน!J164"")"),0)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IFERROR(__xludf.DUMMYFUNCTION("IMPORTRANGE(""https://docs.google.com/spreadsheets/d/11923uPwbBZFjjGgGUA6NLw09EwE0CqkOc4q9oUmW1yo/edit?usp=sharing"",""แม่ฮ่องสอน!I267"")"),50)</f>
        <v>50</v>
      </c>
      <c r="J372" s="188">
        <f ca="1">IFERROR(__xludf.DUMMYFUNCTION("IMPORTRANGE(""https://docs.google.com/spreadsheets/d/11923uPwbBZFjjGgGUA6NLw09EwE0CqkOc4q9oUmW1yo/edit?usp=sharing"",""แม่ฮ่องสอน!J267"")"),50)</f>
        <v>50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IFERROR(__xludf.DUMMYFUNCTION("IMPORTRANGE(""https://docs.google.com/spreadsheets/d/11923uPwbBZFjjGgGUA6NLw09EwE0CqkOc4q9oUmW1yo/edit?usp=sharing"",""แม่ฮ่องสอน!I164"")"),0)</f>
        <v>0</v>
      </c>
      <c r="J373" s="203">
        <f ca="1">IFERROR(__xludf.DUMMYFUNCTION("IMPORTRANGE(""https://docs.google.com/spreadsheets/d/11923uPwbBZFjjGgGUA6NLw09EwE0CqkOc4q9oUmW1yo/edit?usp=sharing"",""แม่ฮ่องสอน!J164"")"),0)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IFERROR(__xludf.DUMMYFUNCTION("IMPORTRANGE(""https://docs.google.com/spreadsheets/d/11923uPwbBZFjjGgGUA6NLw09EwE0CqkOc4q9oUmW1yo/edit?usp=sharing"",""แม่ฮ่องสอน!I164"")"),0)</f>
        <v>0</v>
      </c>
      <c r="J374" s="187">
        <f ca="1">IFERROR(__xludf.DUMMYFUNCTION("IMPORTRANGE(""https://docs.google.com/spreadsheets/d/11923uPwbBZFjjGgGUA6NLw09EwE0CqkOc4q9oUmW1yo/edit?usp=sharing"",""แม่ฮ่องสอน!J164"")"),0)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IFERROR(__xludf.DUMMYFUNCTION("IMPORTRANGE(""https://docs.google.com/spreadsheets/d/11923uPwbBZFjjGgGUA6NLw09EwE0CqkOc4q9oUmW1yo/edit?usp=sharing"",""แม่ฮ่องสอน!I270"")"),110)</f>
        <v>110</v>
      </c>
      <c r="J375" s="187">
        <f ca="1">IFERROR(__xludf.DUMMYFUNCTION("IMPORTRANGE(""https://docs.google.com/spreadsheets/d/11923uPwbBZFjjGgGUA6NLw09EwE0CqkOc4q9oUmW1yo/edit?usp=sharing"",""แม่ฮ่องสอน!J270"")"),110)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IFERROR(__xludf.DUMMYFUNCTION("IMPORTRANGE(""https://docs.google.com/spreadsheets/d/11923uPwbBZFjjGgGUA6NLw09EwE0CqkOc4q9oUmW1yo/edit?usp=sharing"",""แม่ฮ่องสอน!I271"")"),60)</f>
        <v>60</v>
      </c>
      <c r="J376" s="188">
        <f ca="1">IFERROR(__xludf.DUMMYFUNCTION("IMPORTRANGE(""https://docs.google.com/spreadsheets/d/11923uPwbBZFjjGgGUA6NLw09EwE0CqkOc4q9oUmW1yo/edit?usp=sharing"",""แม่ฮ่องสอน!J271"")"),60)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IFERROR(__xludf.DUMMYFUNCTION("IMPORTRANGE(""https://docs.google.com/spreadsheets/d/11923uPwbBZFjjGgGUA6NLw09EwE0CqkOc4q9oUmW1yo/edit?usp=sharing"",""แม่ฮ่องสอน!I272"")"),50)</f>
        <v>50</v>
      </c>
      <c r="J377" s="203">
        <f ca="1">IFERROR(__xludf.DUMMYFUNCTION("IMPORTRANGE(""https://docs.google.com/spreadsheets/d/11923uPwbBZFjjGgGUA6NLw09EwE0CqkOc4q9oUmW1yo/edit?usp=sharing"",""แม่ฮ่องสอน!J272"")"),50)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IFERROR(__xludf.DUMMYFUNCTION("IMPORTRANGE(""https://docs.google.com/spreadsheets/d/11923uPwbBZFjjGgGUA6NLw09EwE0CqkOc4q9oUmW1yo/edit?usp=sharing"",""แม่ฮ่องสอน!J273"")"),0)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IFERROR(__xludf.DUMMYFUNCTION("IMPORTRANGE(""https://docs.google.com/spreadsheets/d/11923uPwbBZFjjGgGUA6NLw09EwE0CqkOc4q9oUmW1yo/edit?usp=sharing"",""แม่ฮ่องสอน!J274"")"),0)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IFERROR(__xludf.DUMMYFUNCTION("IMPORTRANGE(""https://docs.google.com/spreadsheets/d/11923uPwbBZFjjGgGUA6NLw09EwE0CqkOc4q9oUmW1yo/edit?usp=sharing"",""แม่ฮ่องสอน!I275"")"),100)</f>
        <v>100</v>
      </c>
      <c r="J380" s="370">
        <f ca="1">IFERROR(__xludf.DUMMYFUNCTION("IMPORTRANGE(""https://docs.google.com/spreadsheets/d/11923uPwbBZFjjGgGUA6NLw09EwE0CqkOc4q9oUmW1yo/edit?usp=sharing"",""แม่ฮ่องสอน!J275"")"),100)</f>
        <v>100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IFERROR(__xludf.DUMMYFUNCTION("IMPORTRANGE(""https://docs.google.com/spreadsheets/d/11923uPwbBZFjjGgGUA6NLw09EwE0CqkOc4q9oUmW1yo/edit?usp=sharing"",""แม่ฮ่องสอน!L275"")"),127660)</f>
        <v>127660</v>
      </c>
      <c r="M380" s="372"/>
      <c r="N380" s="372">
        <f ca="1">IFERROR(__xludf.DUMMYFUNCTION("IMPORTRANGE(""https://docs.google.com/spreadsheets/d/11923uPwbBZFjjGgGUA6NLw09EwE0CqkOc4q9oUmW1yo/edit?usp=sharing"",""แม่ฮ่องสอน!M275"")"),124650)</f>
        <v>124650</v>
      </c>
      <c r="O380" s="372">
        <f ca="1">+IF(L380&gt;0,N380*100/L380,0)</f>
        <v>97.642174526084915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IFERROR(__xludf.DUMMYFUNCTION("IMPORTRANGE(""https://docs.google.com/spreadsheets/d/11923uPwbBZFjjGgGUA6NLw09EwE0CqkOc4q9oUmW1yo/edit?usp=sharing"",""แม่ฮ่องสอน!I276"")"),10)</f>
        <v>10</v>
      </c>
      <c r="J381" s="370">
        <f ca="1">IFERROR(__xludf.DUMMYFUNCTION("IMPORTRANGE(""https://docs.google.com/spreadsheets/d/11923uPwbBZFjjGgGUA6NLw09EwE0CqkOc4q9oUmW1yo/edit?usp=sharing"",""แม่ฮ่องสอน!J276"")"),10)</f>
        <v>10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IFERROR(__xludf.DUMMYFUNCTION("IMPORTRANGE(""https://docs.google.com/spreadsheets/d/11923uPwbBZFjjGgGUA6NLw09EwE0CqkOc4q9oUmW1yo/edit?usp=sharing"",""แม่ฮ่องสอน!L277"")"),0)</f>
        <v>0</v>
      </c>
      <c r="M382" s="164"/>
      <c r="N382" s="164">
        <f ca="1">IFERROR(__xludf.DUMMYFUNCTION("IMPORTRANGE(""https://docs.google.com/spreadsheets/d/11923uPwbBZFjjGgGUA6NLw09EwE0CqkOc4q9oUmW1yo/edit?usp=sharing"",""แม่ฮ่องสอน!M277"")"),0)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5"/>
      <c r="N383" s="165">
        <f ca="1">IFERROR(__xludf.DUMMYFUNCTION("IMPORTRANGE(""https://docs.google.com/spreadsheets/d/11923uPwbBZFjjGgGUA6NLw09EwE0CqkOc4q9oUmW1yo/edit?usp=sharing"",""แม่ฮ่องสอน!M278"")"),124650)</f>
        <v>124650</v>
      </c>
      <c r="O383" s="165">
        <f t="shared" ca="1" si="109"/>
        <v>97.642174526084915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IFERROR(__xludf.DUMMYFUNCTION("IMPORTRANGE(""https://docs.google.com/spreadsheets/d/11923uPwbBZFjjGgGUA6NLw09EwE0CqkOc4q9oUmW1yo/edit?usp=sharing"",""แม่ฮ่องสอน!L279"")"),0)</f>
        <v>0</v>
      </c>
      <c r="M384" s="168"/>
      <c r="N384" s="168">
        <f ca="1">IFERROR(__xludf.DUMMYFUNCTION("IMPORTRANGE(""https://docs.google.com/spreadsheets/d/11923uPwbBZFjjGgGUA6NLw09EwE0CqkOc4q9oUmW1yo/edit?usp=sharing"",""แม่ฮ่องสอน!M279"")"),0)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68"/>
      <c r="N385" s="167">
        <f ca="1">IFERROR(__xludf.DUMMYFUNCTION("IMPORTRANGE(""https://docs.google.com/spreadsheets/d/11923uPwbBZFjjGgGUA6NLw09EwE0CqkOc4q9oUmW1yo/edit?usp=sharing"",""แม่ฮ่องสอน!M280"")"),124650)</f>
        <v>124650</v>
      </c>
      <c r="O385" s="168">
        <f t="shared" ca="1" si="109"/>
        <v>97.642174526084915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IFERROR(__xludf.DUMMYFUNCTION("IMPORTRANGE(""https://docs.google.com/spreadsheets/d/11923uPwbBZFjjGgGUA6NLw09EwE0CqkOc4q9oUmW1yo/edit?usp=sharing"",""แม่ฮ่องสอน!M281"")"),41400)</f>
        <v>41400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IFERROR(__xludf.DUMMYFUNCTION("IMPORTRANGE(""https://docs.google.com/spreadsheets/d/11923uPwbBZFjjGgGUA6NLw09EwE0CqkOc4q9oUmW1yo/edit?usp=sharing"",""แม่ฮ่องสอน!M282"")"),62500)</f>
        <v>62500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IFERROR(__xludf.DUMMYFUNCTION("IMPORTRANGE(""https://docs.google.com/spreadsheets/d/11923uPwbBZFjjGgGUA6NLw09EwE0CqkOc4q9oUmW1yo/edit?usp=sharing"",""แม่ฮ่องสอน!M283"")"),0)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IFERROR(__xludf.DUMMYFUNCTION("IMPORTRANGE(""https://docs.google.com/spreadsheets/d/11923uPwbBZFjjGgGUA6NLw09EwE0CqkOc4q9oUmW1yo/edit?usp=sharing"",""แม่ฮ่องสอน!M284"")"),20750)</f>
        <v>20750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IFERROR(__xludf.DUMMYFUNCTION("IMPORTRANGE(""https://docs.google.com/spreadsheets/d/11923uPwbBZFjjGgGUA6NLw09EwE0CqkOc4q9oUmW1yo/edit?usp=sharing"",""แม่ฮ่องสอน!J286"")"),0)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IFERROR(__xludf.DUMMYFUNCTION("IMPORTRANGE(""https://docs.google.com/spreadsheets/d/11923uPwbBZFjjGgGUA6NLw09EwE0CqkOc4q9oUmW1yo/edit?usp=sharing"",""แม่ฮ่องสอน!J287"")"),1)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IFERROR(__xludf.DUMMYFUNCTION("IMPORTRANGE(""https://docs.google.com/spreadsheets/d/11923uPwbBZFjjGgGUA6NLw09EwE0CqkOc4q9oUmW1yo/edit?usp=sharing"",""แม่ฮ่องสอน!J288"")"),1)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IFERROR(__xludf.DUMMYFUNCTION("IMPORTRANGE(""https://docs.google.com/spreadsheets/d/11923uPwbBZFjjGgGUA6NLw09EwE0CqkOc4q9oUmW1yo/edit?usp=sharing"",""แม่ฮ่องสอน!J289"")"),1)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IFERROR(__xludf.DUMMYFUNCTION("IMPORTRANGE(""https://docs.google.com/spreadsheets/d/11923uPwbBZFjjGgGUA6NLw09EwE0CqkOc4q9oUmW1yo/edit?usp=sharing"",""แม่ฮ่องสอน!I291"")"),10)</f>
        <v>10</v>
      </c>
      <c r="J396" s="197">
        <f ca="1">IFERROR(__xludf.DUMMYFUNCTION("IMPORTRANGE(""https://docs.google.com/spreadsheets/d/11923uPwbBZFjjGgGUA6NLw09EwE0CqkOc4q9oUmW1yo/edit?usp=sharing"",""แม่ฮ่องสอน!J291"")"),10)</f>
        <v>10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IFERROR(__xludf.DUMMYFUNCTION("IMPORTRANGE(""https://docs.google.com/spreadsheets/d/11923uPwbBZFjjGgGUA6NLw09EwE0CqkOc4q9oUmW1yo/edit?usp=sharing"",""แม่ฮ่องสอน!I292"")"),100)</f>
        <v>100</v>
      </c>
      <c r="J397" s="197">
        <f ca="1">IFERROR(__xludf.DUMMYFUNCTION("IMPORTRANGE(""https://docs.google.com/spreadsheets/d/11923uPwbBZFjjGgGUA6NLw09EwE0CqkOc4q9oUmW1yo/edit?usp=sharing"",""แม่ฮ่องสอน!J292"")"),100)</f>
        <v>100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IFERROR(__xludf.DUMMYFUNCTION("IMPORTRANGE(""https://docs.google.com/spreadsheets/d/11923uPwbBZFjjGgGUA6NLw09EwE0CqkOc4q9oUmW1yo/edit?usp=sharing"",""แม่ฮ่องสอน!I293"")"),10)</f>
        <v>10</v>
      </c>
      <c r="J398" s="197">
        <f ca="1">IFERROR(__xludf.DUMMYFUNCTION("IMPORTRANGE(""https://docs.google.com/spreadsheets/d/11923uPwbBZFjjGgGUA6NLw09EwE0CqkOc4q9oUmW1yo/edit?usp=sharing"",""แม่ฮ่องสอน!J293"")"),0)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IFERROR(__xludf.DUMMYFUNCTION("IMPORTRANGE(""https://docs.google.com/spreadsheets/d/11923uPwbBZFjjGgGUA6NLw09EwE0CqkOc4q9oUmW1yo/edit?usp=sharing"",""แม่ฮ่องสอน!J294"")"),0)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IFERROR(__xludf.DUMMYFUNCTION("IMPORTRANGE(""https://docs.google.com/spreadsheets/d/11923uPwbBZFjjGgGUA6NLw09EwE0CqkOc4q9oUmW1yo/edit?usp=sharing"",""แม่ฮ่องสอน!J295"")"),0)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IFERROR(__xludf.DUMMYFUNCTION("IMPORTRANGE(""https://docs.google.com/spreadsheets/d/11923uPwbBZFjjGgGUA6NLw09EwE0CqkOc4q9oUmW1yo/edit?usp=sharing"",""แม่ฮ่องสอน!I296"")"),93)</f>
        <v>93</v>
      </c>
      <c r="J401" s="370">
        <f ca="1">IFERROR(__xludf.DUMMYFUNCTION("IMPORTRANGE(""https://docs.google.com/spreadsheets/d/11923uPwbBZFjjGgGUA6NLw09EwE0CqkOc4q9oUmW1yo/edit?usp=sharing"",""แม่ฮ่องสอน!J296"")"),93)</f>
        <v>93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IFERROR(__xludf.DUMMYFUNCTION("IMPORTRANGE(""https://docs.google.com/spreadsheets/d/11923uPwbBZFjjGgGUA6NLw09EwE0CqkOc4q9oUmW1yo/edit?usp=sharing"",""แม่ฮ่องสอน!L296"")"),104590)</f>
        <v>104590</v>
      </c>
      <c r="M401" s="372"/>
      <c r="N401" s="372">
        <f ca="1">IFERROR(__xludf.DUMMYFUNCTION("IMPORTRANGE(""https://docs.google.com/spreadsheets/d/11923uPwbBZFjjGgGUA6NLw09EwE0CqkOc4q9oUmW1yo/edit?usp=sharing"",""แม่ฮ่องสอน!M296"")"),103810)</f>
        <v>103810</v>
      </c>
      <c r="O401" s="372">
        <f ca="1">+IF(L401&gt;0,N401*100/L401,0)</f>
        <v>99.254230806004401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IFERROR(__xludf.DUMMYFUNCTION("IMPORTRANGE(""https://docs.google.com/spreadsheets/d/11923uPwbBZFjjGgGUA6NLw09EwE0CqkOc4q9oUmW1yo/edit?usp=sharing"",""แม่ฮ่องสอน!I297"")"),31)</f>
        <v>31</v>
      </c>
      <c r="J402" s="370">
        <f ca="1">IFERROR(__xludf.DUMMYFUNCTION("IMPORTRANGE(""https://docs.google.com/spreadsheets/d/11923uPwbBZFjjGgGUA6NLw09EwE0CqkOc4q9oUmW1yo/edit?usp=sharing"",""แม่ฮ่องสอน!J297"")"),31)</f>
        <v>31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IFERROR(__xludf.DUMMYFUNCTION("IMPORTRANGE(""https://docs.google.com/spreadsheets/d/11923uPwbBZFjjGgGUA6NLw09EwE0CqkOc4q9oUmW1yo/edit?usp=sharing"",""แม่ฮ่องสอน!L298"")"),0)</f>
        <v>0</v>
      </c>
      <c r="M403" s="164"/>
      <c r="N403" s="168">
        <f ca="1">IFERROR(__xludf.DUMMYFUNCTION("IMPORTRANGE(""https://docs.google.com/spreadsheets/d/11923uPwbBZFjjGgGUA6NLw09EwE0CqkOc4q9oUmW1yo/edit?usp=sharing"",""แม่ฮ่องสอน!M298"")"),0)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5"/>
      <c r="N404" s="168">
        <f ca="1">IFERROR(__xludf.DUMMYFUNCTION("IMPORTRANGE(""https://docs.google.com/spreadsheets/d/11923uPwbBZFjjGgGUA6NLw09EwE0CqkOc4q9oUmW1yo/edit?usp=sharing"",""แม่ฮ่องสอน!M299"")"),103810)</f>
        <v>103810</v>
      </c>
      <c r="O404" s="168">
        <f t="shared" ca="1" si="112"/>
        <v>99.254230806004401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IFERROR(__xludf.DUMMYFUNCTION("IMPORTRANGE(""https://docs.google.com/spreadsheets/d/11923uPwbBZFjjGgGUA6NLw09EwE0CqkOc4q9oUmW1yo/edit?usp=sharing"",""แม่ฮ่องสอน!L300"")"),0)</f>
        <v>0</v>
      </c>
      <c r="M405" s="168"/>
      <c r="N405" s="168">
        <f ca="1">IFERROR(__xludf.DUMMYFUNCTION("IMPORTRANGE(""https://docs.google.com/spreadsheets/d/11923uPwbBZFjjGgGUA6NLw09EwE0CqkOc4q9oUmW1yo/edit?usp=sharing"",""แม่ฮ่องสอน!M300"")"),0)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68"/>
      <c r="N406" s="168">
        <f ca="1">IFERROR(__xludf.DUMMYFUNCTION("IMPORTRANGE(""https://docs.google.com/spreadsheets/d/11923uPwbBZFjjGgGUA6NLw09EwE0CqkOc4q9oUmW1yo/edit?usp=sharing"",""แม่ฮ่องสอน!M301"")"),103810)</f>
        <v>103810</v>
      </c>
      <c r="O406" s="168">
        <f t="shared" ca="1" si="112"/>
        <v>99.254230806004401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IFERROR(__xludf.DUMMYFUNCTION("IMPORTRANGE(""https://docs.google.com/spreadsheets/d/11923uPwbBZFjjGgGUA6NLw09EwE0CqkOc4q9oUmW1yo/edit?usp=sharing"",""แม่ฮ่องสอน!M302"")"),67070)</f>
        <v>67070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IFERROR(__xludf.DUMMYFUNCTION("IMPORTRANGE(""https://docs.google.com/spreadsheets/d/11923uPwbBZFjjGgGUA6NLw09EwE0CqkOc4q9oUmW1yo/edit?usp=sharing"",""แม่ฮ่องสอน!M303"")"),14700)</f>
        <v>14700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IFERROR(__xludf.DUMMYFUNCTION("IMPORTRANGE(""https://docs.google.com/spreadsheets/d/11923uPwbBZFjjGgGUA6NLw09EwE0CqkOc4q9oUmW1yo/edit?usp=sharing"",""แม่ฮ่องสอน!M304"")"),0)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IFERROR(__xludf.DUMMYFUNCTION("IMPORTRANGE(""https://docs.google.com/spreadsheets/d/11923uPwbBZFjjGgGUA6NLw09EwE0CqkOc4q9oUmW1yo/edit?usp=sharing"",""แม่ฮ่องสอน!M305"")"),22040)</f>
        <v>22040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IFERROR(__xludf.DUMMYFUNCTION("IMPORTRANGE(""https://docs.google.com/spreadsheets/d/11923uPwbBZFjjGgGUA6NLw09EwE0CqkOc4q9oUmW1yo/edit?usp=sharing"",""แม่ฮ่องสอน!J307"")"),0)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IFERROR(__xludf.DUMMYFUNCTION("IMPORTRANGE(""https://docs.google.com/spreadsheets/d/11923uPwbBZFjjGgGUA6NLw09EwE0CqkOc4q9oUmW1yo/edit?usp=sharing"",""แม่ฮ่องสอน!J308"")"),1)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IFERROR(__xludf.DUMMYFUNCTION("IMPORTRANGE(""https://docs.google.com/spreadsheets/d/11923uPwbBZFjjGgGUA6NLw09EwE0CqkOc4q9oUmW1yo/edit?usp=sharing"",""แม่ฮ่องสอน!J309"")"),1)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IFERROR(__xludf.DUMMYFUNCTION("IMPORTRANGE(""https://docs.google.com/spreadsheets/d/11923uPwbBZFjjGgGUA6NLw09EwE0CqkOc4q9oUmW1yo/edit?usp=sharing"",""แม่ฮ่องสอน!J310"")"),0)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IFERROR(__xludf.DUMMYFUNCTION("IMPORTRANGE(""https://docs.google.com/spreadsheets/d/11923uPwbBZFjjGgGUA6NLw09EwE0CqkOc4q9oUmW1yo/edit?usp=sharing"",""แม่ฮ่องสอน!I311"")"),31)</f>
        <v>31</v>
      </c>
      <c r="J416" s="200">
        <f ca="1">IFERROR(__xludf.DUMMYFUNCTION("IMPORTRANGE(""https://docs.google.com/spreadsheets/d/11923uPwbBZFjjGgGUA6NLw09EwE0CqkOc4q9oUmW1yo/edit?usp=sharing"",""แม่ฮ่องสอน!J311"")"),31)</f>
        <v>31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IFERROR(__xludf.DUMMYFUNCTION("IMPORTRANGE(""https://docs.google.com/spreadsheets/d/11923uPwbBZFjjGgGUA6NLw09EwE0CqkOc4q9oUmW1yo/edit?usp=sharing"",""แม่ฮ่องสอน!I312"")"),0)</f>
        <v>0</v>
      </c>
      <c r="J417" s="391">
        <f ca="1">IFERROR(__xludf.DUMMYFUNCTION("IMPORTRANGE(""https://docs.google.com/spreadsheets/d/11923uPwbBZFjjGgGUA6NLw09EwE0CqkOc4q9oUmW1yo/edit?usp=sharing"",""แม่ฮ่องสอน!J312"")"),0)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IFERROR(__xludf.DUMMYFUNCTION("IMPORTRANGE(""https://docs.google.com/spreadsheets/d/11923uPwbBZFjjGgGUA6NLw09EwE0CqkOc4q9oUmW1yo/edit?usp=sharing"",""แม่ฮ่องสอน!I313"")"),0)</f>
        <v>0</v>
      </c>
      <c r="J418" s="392">
        <f ca="1">IFERROR(__xludf.DUMMYFUNCTION("IMPORTRANGE(""https://docs.google.com/spreadsheets/d/11923uPwbBZFjjGgGUA6NLw09EwE0CqkOc4q9oUmW1yo/edit?usp=sharing"",""แม่ฮ่องสอน!J313"")"),0)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IFERROR(__xludf.DUMMYFUNCTION("IMPORTRANGE(""https://docs.google.com/spreadsheets/d/11923uPwbBZFjjGgGUA6NLw09EwE0CqkOc4q9oUmW1yo/edit?usp=sharing"",""แม่ฮ่องสอน!I314"")"),0)</f>
        <v>0</v>
      </c>
      <c r="J419" s="393">
        <f ca="1">IFERROR(__xludf.DUMMYFUNCTION("IMPORTRANGE(""https://docs.google.com/spreadsheets/d/11923uPwbBZFjjGgGUA6NLw09EwE0CqkOc4q9oUmW1yo/edit?usp=sharing"",""แม่ฮ่องสอน!J314"")"),0)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IFERROR(__xludf.DUMMYFUNCTION("IMPORTRANGE(""https://docs.google.com/spreadsheets/d/11923uPwbBZFjjGgGUA6NLw09EwE0CqkOc4q9oUmW1yo/edit?usp=sharing"",""แม่ฮ่องสอน!I315"")"),0)</f>
        <v>0</v>
      </c>
      <c r="J420" s="393">
        <f ca="1">IFERROR(__xludf.DUMMYFUNCTION("IMPORTRANGE(""https://docs.google.com/spreadsheets/d/11923uPwbBZFjjGgGUA6NLw09EwE0CqkOc4q9oUmW1yo/edit?usp=sharing"",""แม่ฮ่องสอน!J315"")"),0)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IFERROR(__xludf.DUMMYFUNCTION("IMPORTRANGE(""https://docs.google.com/spreadsheets/d/11923uPwbBZFjjGgGUA6NLw09EwE0CqkOc4q9oUmW1yo/edit?usp=sharing"",""แม่ฮ่องสอน!I316"")"),21)</f>
        <v>21</v>
      </c>
      <c r="J421" s="391">
        <f ca="1">IFERROR(__xludf.DUMMYFUNCTION("IMPORTRANGE(""https://docs.google.com/spreadsheets/d/11923uPwbBZFjjGgGUA6NLw09EwE0CqkOc4q9oUmW1yo/edit?usp=sharing"",""แม่ฮ่องสอน!J316"")"),21)</f>
        <v>21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IFERROR(__xludf.DUMMYFUNCTION("IMPORTRANGE(""https://docs.google.com/spreadsheets/d/11923uPwbBZFjjGgGUA6NLw09EwE0CqkOc4q9oUmW1yo/edit?usp=sharing"",""แม่ฮ่องสอน!I317"")"),63)</f>
        <v>63</v>
      </c>
      <c r="J422" s="392">
        <f ca="1">IFERROR(__xludf.DUMMYFUNCTION("IMPORTRANGE(""https://docs.google.com/spreadsheets/d/11923uPwbBZFjjGgGUA6NLw09EwE0CqkOc4q9oUmW1yo/edit?usp=sharing"",""แม่ฮ่องสอน!J317"")"),63)</f>
        <v>63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IFERROR(__xludf.DUMMYFUNCTION("IMPORTRANGE(""https://docs.google.com/spreadsheets/d/11923uPwbBZFjjGgGUA6NLw09EwE0CqkOc4q9oUmW1yo/edit?usp=sharing"",""แม่ฮ่องสอน!I318"")"),21)</f>
        <v>21</v>
      </c>
      <c r="J423" s="393">
        <f ca="1">IFERROR(__xludf.DUMMYFUNCTION("IMPORTRANGE(""https://docs.google.com/spreadsheets/d/11923uPwbBZFjjGgGUA6NLw09EwE0CqkOc4q9oUmW1yo/edit?usp=sharing"",""แม่ฮ่องสอน!J318"")"),21)</f>
        <v>21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IFERROR(__xludf.DUMMYFUNCTION("IMPORTRANGE(""https://docs.google.com/spreadsheets/d/11923uPwbBZFjjGgGUA6NLw09EwE0CqkOc4q9oUmW1yo/edit?usp=sharing"",""แม่ฮ่องสอน!I319"")"),21)</f>
        <v>21</v>
      </c>
      <c r="J424" s="393">
        <f ca="1">IFERROR(__xludf.DUMMYFUNCTION("IMPORTRANGE(""https://docs.google.com/spreadsheets/d/11923uPwbBZFjjGgGUA6NLw09EwE0CqkOc4q9oUmW1yo/edit?usp=sharing"",""แม่ฮ่องสอน!J319"")"),21)</f>
        <v>21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IFERROR(__xludf.DUMMYFUNCTION("IMPORTRANGE(""https://docs.google.com/spreadsheets/d/11923uPwbBZFjjGgGUA6NLw09EwE0CqkOc4q9oUmW1yo/edit?usp=sharing"",""แม่ฮ่องสอน!I320"")"),21)</f>
        <v>21</v>
      </c>
      <c r="J425" s="393">
        <f ca="1">IFERROR(__xludf.DUMMYFUNCTION("IMPORTRANGE(""https://docs.google.com/spreadsheets/d/11923uPwbBZFjjGgGUA6NLw09EwE0CqkOc4q9oUmW1yo/edit?usp=sharing"",""แม่ฮ่องสอน!J320"")"),21)</f>
        <v>21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IFERROR(__xludf.DUMMYFUNCTION("IMPORTRANGE(""https://docs.google.com/spreadsheets/d/11923uPwbBZFjjGgGUA6NLw09EwE0CqkOc4q9oUmW1yo/edit?usp=sharing"",""แม่ฮ่องสอน!I321"")"),10)</f>
        <v>10</v>
      </c>
      <c r="J426" s="391">
        <f ca="1">IFERROR(__xludf.DUMMYFUNCTION("IMPORTRANGE(""https://docs.google.com/spreadsheets/d/11923uPwbBZFjjGgGUA6NLw09EwE0CqkOc4q9oUmW1yo/edit?usp=sharing"",""แม่ฮ่องสอน!J321"")"),10)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IFERROR(__xludf.DUMMYFUNCTION("IMPORTRANGE(""https://docs.google.com/spreadsheets/d/11923uPwbBZFjjGgGUA6NLw09EwE0CqkOc4q9oUmW1yo/edit?usp=sharing"",""แม่ฮ่องสอน!I322"")"),30)</f>
        <v>30</v>
      </c>
      <c r="J427" s="392">
        <f ca="1">IFERROR(__xludf.DUMMYFUNCTION("IMPORTRANGE(""https://docs.google.com/spreadsheets/d/11923uPwbBZFjjGgGUA6NLw09EwE0CqkOc4q9oUmW1yo/edit?usp=sharing"",""แม่ฮ่องสอน!J322"")"),30)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IFERROR(__xludf.DUMMYFUNCTION("IMPORTRANGE(""https://docs.google.com/spreadsheets/d/11923uPwbBZFjjGgGUA6NLw09EwE0CqkOc4q9oUmW1yo/edit?usp=sharing"",""แม่ฮ่องสอน!I323"")"),10)</f>
        <v>10</v>
      </c>
      <c r="J428" s="393">
        <f ca="1">IFERROR(__xludf.DUMMYFUNCTION("IMPORTRANGE(""https://docs.google.com/spreadsheets/d/11923uPwbBZFjjGgGUA6NLw09EwE0CqkOc4q9oUmW1yo/edit?usp=sharing"",""แม่ฮ่องสอน!J323"")"),10)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IFERROR(__xludf.DUMMYFUNCTION("IMPORTRANGE(""https://docs.google.com/spreadsheets/d/11923uPwbBZFjjGgGUA6NLw09EwE0CqkOc4q9oUmW1yo/edit?usp=sharing"",""แม่ฮ่องสอน!I324"")"),10)</f>
        <v>10</v>
      </c>
      <c r="J429" s="393">
        <f ca="1">IFERROR(__xludf.DUMMYFUNCTION("IMPORTRANGE(""https://docs.google.com/spreadsheets/d/11923uPwbBZFjjGgGUA6NLw09EwE0CqkOc4q9oUmW1yo/edit?usp=sharing"",""แม่ฮ่องสอน!J324"")"),10)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IFERROR(__xludf.DUMMYFUNCTION("IMPORTRANGE(""https://docs.google.com/spreadsheets/d/11923uPwbBZFjjGgGUA6NLw09EwE0CqkOc4q9oUmW1yo/edit?usp=sharing"",""แม่ฮ่องสอน!I325"")"),21)</f>
        <v>21</v>
      </c>
      <c r="J430" s="391">
        <f ca="1">IFERROR(__xludf.DUMMYFUNCTION("IMPORTRANGE(""https://docs.google.com/spreadsheets/d/11923uPwbBZFjjGgGUA6NLw09EwE0CqkOc4q9oUmW1yo/edit?usp=sharing"",""แม่ฮ่องสอน!J325"")"),21)</f>
        <v>21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IFERROR(__xludf.DUMMYFUNCTION("IMPORTRANGE(""https://docs.google.com/spreadsheets/d/11923uPwbBZFjjGgGUA6NLw09EwE0CqkOc4q9oUmW1yo/edit?usp=sharing"",""แม่ฮ่องสอน!I326"")"),0)</f>
        <v>0</v>
      </c>
      <c r="J431" s="393">
        <f ca="1">IFERROR(__xludf.DUMMYFUNCTION("IMPORTRANGE(""https://docs.google.com/spreadsheets/d/11923uPwbBZFjjGgGUA6NLw09EwE0CqkOc4q9oUmW1yo/edit?usp=sharing"",""แม่ฮ่องสอน!J326"")"),0)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IFERROR(__xludf.DUMMYFUNCTION("IMPORTRANGE(""https://docs.google.com/spreadsheets/d/11923uPwbBZFjjGgGUA6NLw09EwE0CqkOc4q9oUmW1yo/edit?usp=sharing"",""แม่ฮ่องสอน!I327"")"),21)</f>
        <v>21</v>
      </c>
      <c r="J432" s="393">
        <f ca="1">IFERROR(__xludf.DUMMYFUNCTION("IMPORTRANGE(""https://docs.google.com/spreadsheets/d/11923uPwbBZFjjGgGUA6NLw09EwE0CqkOc4q9oUmW1yo/edit?usp=sharing"",""แม่ฮ่องสอน!J327"")"),21)</f>
        <v>21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IFERROR(__xludf.DUMMYFUNCTION("IMPORTRANGE(""https://docs.google.com/spreadsheets/d/11923uPwbBZFjjGgGUA6NLw09EwE0CqkOc4q9oUmW1yo/edit?usp=sharing"",""แม่ฮ่องสอน!J328"")"),0)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IFERROR(__xludf.DUMMYFUNCTION("IMPORTRANGE(""https://docs.google.com/spreadsheets/d/11923uPwbBZFjjGgGUA6NLw09EwE0CqkOc4q9oUmW1yo/edit?usp=sharing"",""แม่ฮ่องสอน!J329"")"),0)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IFERROR(__xludf.DUMMYFUNCTION("IMPORTRANGE(""https://docs.google.com/spreadsheets/d/11923uPwbBZFjjGgGUA6NLw09EwE0CqkOc4q9oUmW1yo/edit?usp=sharing"",""แม่ฮ่องสอน!I330"")"),20)</f>
        <v>20</v>
      </c>
      <c r="J435" s="409">
        <f ca="1">IFERROR(__xludf.DUMMYFUNCTION("IMPORTRANGE(""https://docs.google.com/spreadsheets/d/11923uPwbBZFjjGgGUA6NLw09EwE0CqkOc4q9oUmW1yo/edit?usp=sharing"",""แม่ฮ่องสอน!J330"")"),20)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IFERROR(__xludf.DUMMYFUNCTION("IMPORTRANGE(""https://docs.google.com/spreadsheets/d/11923uPwbBZFjjGgGUA6NLw09EwE0CqkOc4q9oUmW1yo/edit?usp=sharing"",""แม่ฮ่องสอน!L330"")"),100000)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IFERROR(__xludf.DUMMYFUNCTION("IMPORTRANGE(""https://docs.google.com/spreadsheets/d/11923uPwbBZFjjGgGUA6NLw09EwE0CqkOc4q9oUmW1yo/edit?usp=sharing"",""แม่ฮ่องสอน!M330"")"),78959)</f>
        <v>78959</v>
      </c>
      <c r="O435" s="411">
        <f t="shared" ref="O435:O439" ca="1" si="114">+IF(L435&gt;0,N435*100/L435,0)</f>
        <v>78.959000000000003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IFERROR(__xludf.DUMMYFUNCTION("IMPORTRANGE(""https://docs.google.com/spreadsheets/d/11923uPwbBZFjjGgGUA6NLw09EwE0CqkOc4q9oUmW1yo/edit?usp=sharing"",""แม่ฮ่องสอน!L331"")"),0)</f>
        <v>0</v>
      </c>
      <c r="M436" s="164"/>
      <c r="N436" s="168">
        <f ca="1">IFERROR(__xludf.DUMMYFUNCTION("IMPORTRANGE(""https://docs.google.com/spreadsheets/d/11923uPwbBZFjjGgGUA6NLw09EwE0CqkOc4q9oUmW1yo/edit?usp=sharing"",""แม่ฮ่องสอน!M331"")"),0)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IFERROR(__xludf.DUMMYFUNCTION("IMPORTRANGE(""https://docs.google.com/spreadsheets/d/11923uPwbBZFjjGgGUA6NLw09EwE0CqkOc4q9oUmW1yo/edit?usp=sharing"",""แม่ฮ่องสอน!L332"")"),100000)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IFERROR(__xludf.DUMMYFUNCTION("IMPORTRANGE(""https://docs.google.com/spreadsheets/d/11923uPwbBZFjjGgGUA6NLw09EwE0CqkOc4q9oUmW1yo/edit?usp=sharing"",""แม่ฮ่องสอน!M332"")"),78959)</f>
        <v>78959</v>
      </c>
      <c r="O437" s="168">
        <f t="shared" ca="1" si="114"/>
        <v>78.959000000000003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IFERROR(__xludf.DUMMYFUNCTION("IMPORTRANGE(""https://docs.google.com/spreadsheets/d/11923uPwbBZFjjGgGUA6NLw09EwE0CqkOc4q9oUmW1yo/edit?usp=sharing"",""แม่ฮ่องสอน!L333"")"),0)</f>
        <v>0</v>
      </c>
      <c r="M438" s="168"/>
      <c r="N438" s="168">
        <f ca="1">IFERROR(__xludf.DUMMYFUNCTION("IMPORTRANGE(""https://docs.google.com/spreadsheets/d/11923uPwbBZFjjGgGUA6NLw09EwE0CqkOc4q9oUmW1yo/edit?usp=sharing"",""แม่ฮ่องสอน!M333"")"),0)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IFERROR(__xludf.DUMMYFUNCTION("IMPORTRANGE(""https://docs.google.com/spreadsheets/d/11923uPwbBZFjjGgGUA6NLw09EwE0CqkOc4q9oUmW1yo/edit?usp=sharing"",""แม่ฮ่องสอน!L334"")"),100000)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IFERROR(__xludf.DUMMYFUNCTION("IMPORTRANGE(""https://docs.google.com/spreadsheets/d/11923uPwbBZFjjGgGUA6NLw09EwE0CqkOc4q9oUmW1yo/edit?usp=sharing"",""แม่ฮ่องสอน!M334"")"),78959)</f>
        <v>78959</v>
      </c>
      <c r="O439" s="168">
        <f t="shared" ca="1" si="114"/>
        <v>78.959000000000003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IFERROR(__xludf.DUMMYFUNCTION("IMPORTRANGE(""https://docs.google.com/spreadsheets/d/11923uPwbBZFjjGgGUA6NLw09EwE0CqkOc4q9oUmW1yo/edit?usp=sharing"",""แม่ฮ่องสอน!M335"")"),44200)</f>
        <v>44200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IFERROR(__xludf.DUMMYFUNCTION("IMPORTRANGE(""https://docs.google.com/spreadsheets/d/11923uPwbBZFjjGgGUA6NLw09EwE0CqkOc4q9oUmW1yo/edit?usp=sharing"",""แม่ฮ่องสอน!M336"")"),0)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IFERROR(__xludf.DUMMYFUNCTION("IMPORTRANGE(""https://docs.google.com/spreadsheets/d/11923uPwbBZFjjGgGUA6NLw09EwE0CqkOc4q9oUmW1yo/edit?usp=sharing"",""แม่ฮ่องสอน!M337"")"),0)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IFERROR(__xludf.DUMMYFUNCTION("IMPORTRANGE(""https://docs.google.com/spreadsheets/d/11923uPwbBZFjjGgGUA6NLw09EwE0CqkOc4q9oUmW1yo/edit?usp=sharing"",""แม่ฮ่องสอน!M338"")"),34759)</f>
        <v>34759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IFERROR(__xludf.DUMMYFUNCTION("IMPORTRANGE(""https://docs.google.com/spreadsheets/d/11923uPwbBZFjjGgGUA6NLw09EwE0CqkOc4q9oUmW1yo/edit?usp=sharing"",""แม่ฮ่องสอน!J340"")"),0)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IFERROR(__xludf.DUMMYFUNCTION("IMPORTRANGE(""https://docs.google.com/spreadsheets/d/11923uPwbBZFjjGgGUA6NLw09EwE0CqkOc4q9oUmW1yo/edit?usp=sharing"",""แม่ฮ่องสอน!J341"")"),1)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IFERROR(__xludf.DUMMYFUNCTION("IMPORTRANGE(""https://docs.google.com/spreadsheets/d/11923uPwbBZFjjGgGUA6NLw09EwE0CqkOc4q9oUmW1yo/edit?usp=sharing"",""แม่ฮ่องสอน!J342"")"),1)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IFERROR(__xludf.DUMMYFUNCTION("IMPORTRANGE(""https://docs.google.com/spreadsheets/d/11923uPwbBZFjjGgGUA6NLw09EwE0CqkOc4q9oUmW1yo/edit?usp=sharing"",""แม่ฮ่องสอน!J343"")"),1)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IFERROR(__xludf.DUMMYFUNCTION("IMPORTRANGE(""https://docs.google.com/spreadsheets/d/11923uPwbBZFjjGgGUA6NLw09EwE0CqkOc4q9oUmW1yo/edit?usp=sharing"",""แม่ฮ่องสอน!I344"")"),20)</f>
        <v>20</v>
      </c>
      <c r="J449" s="200">
        <f ca="1">IFERROR(__xludf.DUMMYFUNCTION("IMPORTRANGE(""https://docs.google.com/spreadsheets/d/11923uPwbBZFjjGgGUA6NLw09EwE0CqkOc4q9oUmW1yo/edit?usp=sharing"",""แม่ฮ่องสอน!J344"")"),20)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IFERROR(__xludf.DUMMYFUNCTION("IMPORTRANGE(""https://docs.google.com/spreadsheets/d/11923uPwbBZFjjGgGUA6NLw09EwE0CqkOc4q9oUmW1yo/edit?usp=sharing"",""แม่ฮ่องสอน!I345"")"),20)</f>
        <v>20</v>
      </c>
      <c r="J450" s="188">
        <f ca="1">IFERROR(__xludf.DUMMYFUNCTION("IMPORTRANGE(""https://docs.google.com/spreadsheets/d/11923uPwbBZFjjGgGUA6NLw09EwE0CqkOc4q9oUmW1yo/edit?usp=sharing"",""แม่ฮ่องสอน!J345"")"),20)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IFERROR(__xludf.DUMMYFUNCTION("IMPORTRANGE(""https://docs.google.com/spreadsheets/d/11923uPwbBZFjjGgGUA6NLw09EwE0CqkOc4q9oUmW1yo/edit?usp=sharing"",""แม่ฮ่องสอน!I346"")"),0)</f>
        <v>0</v>
      </c>
      <c r="J451" s="187">
        <f ca="1">IFERROR(__xludf.DUMMYFUNCTION("IMPORTRANGE(""https://docs.google.com/spreadsheets/d/11923uPwbBZFjjGgGUA6NLw09EwE0CqkOc4q9oUmW1yo/edit?usp=sharing"",""แม่ฮ่องสอน!J346"")"),0)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IFERROR(__xludf.DUMMYFUNCTION("IMPORTRANGE(""https://docs.google.com/spreadsheets/d/11923uPwbBZFjjGgGUA6NLw09EwE0CqkOc4q9oUmW1yo/edit?usp=sharing"",""แม่ฮ่องสอน!I347"")"),0)</f>
        <v>0</v>
      </c>
      <c r="J452" s="187">
        <f ca="1">IFERROR(__xludf.DUMMYFUNCTION("IMPORTRANGE(""https://docs.google.com/spreadsheets/d/11923uPwbBZFjjGgGUA6NLw09EwE0CqkOc4q9oUmW1yo/edit?usp=sharing"",""แม่ฮ่องสอน!J347"")"),0)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IFERROR(__xludf.DUMMYFUNCTION("IMPORTRANGE(""https://docs.google.com/spreadsheets/d/11923uPwbBZFjjGgGUA6NLw09EwE0CqkOc4q9oUmW1yo/edit?usp=sharing"",""แม่ฮ่องสอน!J348"")"),1)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IFERROR(__xludf.DUMMYFUNCTION("IMPORTRANGE(""https://docs.google.com/spreadsheets/d/11923uPwbBZFjjGgGUA6NLw09EwE0CqkOc4q9oUmW1yo/edit?usp=sharing"",""แม่ฮ่องสอน!J349"")"),0)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IFERROR(__xludf.DUMMYFUNCTION("IMPORTRANGE(""https://docs.google.com/spreadsheets/d/11923uPwbBZFjjGgGUA6NLw09EwE0CqkOc4q9oUmW1yo/edit?usp=sharing"",""แม่ฮ่องสอน!I350"")"),4665)</f>
        <v>4665</v>
      </c>
      <c r="J455" s="370">
        <f ca="1">IFERROR(__xludf.DUMMYFUNCTION("IMPORTRANGE(""https://docs.google.com/spreadsheets/d/11923uPwbBZFjjGgGUA6NLw09EwE0CqkOc4q9oUmW1yo/edit?usp=sharing"",""แม่ฮ่องสอน!J350"")"),4665)</f>
        <v>4665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IFERROR(__xludf.DUMMYFUNCTION("IMPORTRANGE(""https://docs.google.com/spreadsheets/d/11923uPwbBZFjjGgGUA6NLw09EwE0CqkOc4q9oUmW1yo/edit?usp=sharing"",""แม่ฮ่องสอน!L350"")"),97593)</f>
        <v>97593</v>
      </c>
      <c r="M455" s="372"/>
      <c r="N455" s="372">
        <f ca="1">IFERROR(__xludf.DUMMYFUNCTION("IMPORTRANGE(""https://docs.google.com/spreadsheets/d/11923uPwbBZFjjGgGUA6NLw09EwE0CqkOc4q9oUmW1yo/edit?usp=sharing"",""แม่ฮ่องสอน!M350"")"),40255)</f>
        <v>40255</v>
      </c>
      <c r="O455" s="372">
        <f t="shared" ref="O455:O459" ca="1" si="116">+IF(L455&gt;0,N455*100/L455,0)</f>
        <v>41.247835398030595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IFERROR(__xludf.DUMMYFUNCTION("IMPORTRANGE(""https://docs.google.com/spreadsheets/d/11923uPwbBZFjjGgGUA6NLw09EwE0CqkOc4q9oUmW1yo/edit?usp=sharing"",""แม่ฮ่องสอน!L351"")"),0)</f>
        <v>0</v>
      </c>
      <c r="M456" s="164"/>
      <c r="N456" s="168">
        <f ca="1">IFERROR(__xludf.DUMMYFUNCTION("IMPORTRANGE(""https://docs.google.com/spreadsheets/d/11923uPwbBZFjjGgGUA6NLw09EwE0CqkOc4q9oUmW1yo/edit?usp=sharing"",""แม่ฮ่องสอน!M351"")"),0)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IFERROR(__xludf.DUMMYFUNCTION("IMPORTRANGE(""https://docs.google.com/spreadsheets/d/11923uPwbBZFjjGgGUA6NLw09EwE0CqkOc4q9oUmW1yo/edit?usp=sharing"",""แม่ฮ่องสอน!L352"")"),97593)</f>
        <v>97593</v>
      </c>
      <c r="M457" s="165"/>
      <c r="N457" s="168">
        <f ca="1">IFERROR(__xludf.DUMMYFUNCTION("IMPORTRANGE(""https://docs.google.com/spreadsheets/d/11923uPwbBZFjjGgGUA6NLw09EwE0CqkOc4q9oUmW1yo/edit?usp=sharing"",""แม่ฮ่องสอน!M352"")"),40255)</f>
        <v>40255</v>
      </c>
      <c r="O457" s="168">
        <f t="shared" ca="1" si="116"/>
        <v>41.247835398030595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IFERROR(__xludf.DUMMYFUNCTION("IMPORTRANGE(""https://docs.google.com/spreadsheets/d/11923uPwbBZFjjGgGUA6NLw09EwE0CqkOc4q9oUmW1yo/edit?usp=sharing"",""แม่ฮ่องสอน!L353"")"),0)</f>
        <v>0</v>
      </c>
      <c r="M458" s="168"/>
      <c r="N458" s="168">
        <f ca="1">IFERROR(__xludf.DUMMYFUNCTION("IMPORTRANGE(""https://docs.google.com/spreadsheets/d/11923uPwbBZFjjGgGUA6NLw09EwE0CqkOc4q9oUmW1yo/edit?usp=sharing"",""แม่ฮ่องสอน!M353"")"),0)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IFERROR(__xludf.DUMMYFUNCTION("IMPORTRANGE(""https://docs.google.com/spreadsheets/d/11923uPwbBZFjjGgGUA6NLw09EwE0CqkOc4q9oUmW1yo/edit?usp=sharing"",""แม่ฮ่องสอน!L354"")"),97593)</f>
        <v>97593</v>
      </c>
      <c r="M459" s="168"/>
      <c r="N459" s="168">
        <f ca="1">IFERROR(__xludf.DUMMYFUNCTION("IMPORTRANGE(""https://docs.google.com/spreadsheets/d/11923uPwbBZFjjGgGUA6NLw09EwE0CqkOc4q9oUmW1yo/edit?usp=sharing"",""แม่ฮ่องสอน!M354"")"),40255)</f>
        <v>40255</v>
      </c>
      <c r="O459" s="168">
        <f t="shared" ca="1" si="116"/>
        <v>41.247835398030595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IFERROR(__xludf.DUMMYFUNCTION("IMPORTRANGE(""https://docs.google.com/spreadsheets/d/11923uPwbBZFjjGgGUA6NLw09EwE0CqkOc4q9oUmW1yo/edit?usp=sharing"",""แม่ฮ่องสอน!M355"")"),0)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IFERROR(__xludf.DUMMYFUNCTION("IMPORTRANGE(""https://docs.google.com/spreadsheets/d/11923uPwbBZFjjGgGUA6NLw09EwE0CqkOc4q9oUmW1yo/edit?usp=sharing"",""แม่ฮ่องสอน!M356"")"),0)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IFERROR(__xludf.DUMMYFUNCTION("IMPORTRANGE(""https://docs.google.com/spreadsheets/d/11923uPwbBZFjjGgGUA6NLw09EwE0CqkOc4q9oUmW1yo/edit?usp=sharing"",""แม่ฮ่องสอน!M357"")"),0)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IFERROR(__xludf.DUMMYFUNCTION("IMPORTRANGE(""https://docs.google.com/spreadsheets/d/11923uPwbBZFjjGgGUA6NLw09EwE0CqkOc4q9oUmW1yo/edit?usp=sharing"",""แม่ฮ่องสอน!M358"")"),40255)</f>
        <v>40255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IFERROR(__xludf.DUMMYFUNCTION("IMPORTRANGE(""https://docs.google.com/spreadsheets/d/11923uPwbBZFjjGgGUA6NLw09EwE0CqkOc4q9oUmW1yo/edit?usp=sharing"",""แม่ฮ่องสอน!I359"")"),4665)</f>
        <v>4665</v>
      </c>
      <c r="J464" s="267">
        <f ca="1">IFERROR(__xludf.DUMMYFUNCTION("IMPORTRANGE(""https://docs.google.com/spreadsheets/d/11923uPwbBZFjjGgGUA6NLw09EwE0CqkOc4q9oUmW1yo/edit?usp=sharing"",""แม่ฮ่องสอน!J359"")"),4665)</f>
        <v>4665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IFERROR(__xludf.DUMMYFUNCTION("IMPORTRANGE(""https://docs.google.com/spreadsheets/d/11923uPwbBZFjjGgGUA6NLw09EwE0CqkOc4q9oUmW1yo/edit?usp=sharing"",""แม่ฮ่องสอน!I360"")"),4665)</f>
        <v>4665</v>
      </c>
      <c r="J465" s="420">
        <f ca="1">IFERROR(__xludf.DUMMYFUNCTION("IMPORTRANGE(""https://docs.google.com/spreadsheets/d/11923uPwbBZFjjGgGUA6NLw09EwE0CqkOc4q9oUmW1yo/edit?usp=sharing"",""แม่ฮ่องสอน!J360"")"),4665)</f>
        <v>4665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IFERROR(__xludf.DUMMYFUNCTION("IMPORTRANGE(""https://docs.google.com/spreadsheets/d/11923uPwbBZFjjGgGUA6NLw09EwE0CqkOc4q9oUmW1yo/edit?usp=sharing"",""แม่ฮ่องสอน!I361"")"),1134)</f>
        <v>1134</v>
      </c>
      <c r="J466" s="420">
        <f ca="1">IFERROR(__xludf.DUMMYFUNCTION("IMPORTRANGE(""https://docs.google.com/spreadsheets/d/11923uPwbBZFjjGgGUA6NLw09EwE0CqkOc4q9oUmW1yo/edit?usp=sharing"",""แม่ฮ่องสอน!J361"")"),1134)</f>
        <v>1134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IFERROR(__xludf.DUMMYFUNCTION("IMPORTRANGE(""https://docs.google.com/spreadsheets/d/11923uPwbBZFjjGgGUA6NLw09EwE0CqkOc4q9oUmW1yo/edit?usp=sharing"",""แม่ฮ่องสอน!I362"")"),0)</f>
        <v>0</v>
      </c>
      <c r="J467" s="188">
        <f ca="1">IFERROR(__xludf.DUMMYFUNCTION("IMPORTRANGE(""https://docs.google.com/spreadsheets/d/11923uPwbBZFjjGgGUA6NLw09EwE0CqkOc4q9oUmW1yo/edit?usp=sharing"",""แม่ฮ่องสอน!J362"")"),4581)</f>
        <v>4581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IFERROR(__xludf.DUMMYFUNCTION("IMPORTRANGE(""https://docs.google.com/spreadsheets/d/11923uPwbBZFjjGgGUA6NLw09EwE0CqkOc4q9oUmW1yo/edit?usp=sharing"",""แม่ฮ่องสอน!I363"")"),0)</f>
        <v>0</v>
      </c>
      <c r="J468" s="188">
        <f ca="1">IFERROR(__xludf.DUMMYFUNCTION("IMPORTRANGE(""https://docs.google.com/spreadsheets/d/11923uPwbBZFjjGgGUA6NLw09EwE0CqkOc4q9oUmW1yo/edit?usp=sharing"",""แม่ฮ่องสอน!J363"")"),1123)</f>
        <v>1123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IFERROR(__xludf.DUMMYFUNCTION("IMPORTRANGE(""https://docs.google.com/spreadsheets/d/11923uPwbBZFjjGgGUA6NLw09EwE0CqkOc4q9oUmW1yo/edit?usp=sharing"",""แม่ฮ่องสอน!I364"")"),0)</f>
        <v>0</v>
      </c>
      <c r="J469" s="188">
        <f ca="1">IFERROR(__xludf.DUMMYFUNCTION("IMPORTRANGE(""https://docs.google.com/spreadsheets/d/11923uPwbBZFjjGgGUA6NLw09EwE0CqkOc4q9oUmW1yo/edit?usp=sharing"",""แม่ฮ่องสอน!J364"")"),66)</f>
        <v>66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IFERROR(__xludf.DUMMYFUNCTION("IMPORTRANGE(""https://docs.google.com/spreadsheets/d/11923uPwbBZFjjGgGUA6NLw09EwE0CqkOc4q9oUmW1yo/edit?usp=sharing"",""แม่ฮ่องสอน!I365"")"),0)</f>
        <v>0</v>
      </c>
      <c r="J470" s="188">
        <f ca="1">IFERROR(__xludf.DUMMYFUNCTION("IMPORTRANGE(""https://docs.google.com/spreadsheets/d/11923uPwbBZFjjGgGUA6NLw09EwE0CqkOc4q9oUmW1yo/edit?usp=sharing"",""แม่ฮ่องสอน!J365"")"),7)</f>
        <v>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IFERROR(__xludf.DUMMYFUNCTION("IMPORTRANGE(""https://docs.google.com/spreadsheets/d/11923uPwbBZFjjGgGUA6NLw09EwE0CqkOc4q9oUmW1yo/edit?usp=sharing"",""แม่ฮ่องสอน!I366"")"),0)</f>
        <v>0</v>
      </c>
      <c r="J471" s="188">
        <f ca="1">IFERROR(__xludf.DUMMYFUNCTION("IMPORTRANGE(""https://docs.google.com/spreadsheets/d/11923uPwbBZFjjGgGUA6NLw09EwE0CqkOc4q9oUmW1yo/edit?usp=sharing"",""แม่ฮ่องสอน!J366"")"),18)</f>
        <v>18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IFERROR(__xludf.DUMMYFUNCTION("IMPORTRANGE(""https://docs.google.com/spreadsheets/d/11923uPwbBZFjjGgGUA6NLw09EwE0CqkOc4q9oUmW1yo/edit?usp=sharing"",""แม่ฮ่องสอน!I367"")"),0)</f>
        <v>0</v>
      </c>
      <c r="J472" s="188">
        <f ca="1">IFERROR(__xludf.DUMMYFUNCTION("IMPORTRANGE(""https://docs.google.com/spreadsheets/d/11923uPwbBZFjjGgGUA6NLw09EwE0CqkOc4q9oUmW1yo/edit?usp=sharing"",""แม่ฮ่องสอน!J367"")"),4)</f>
        <v>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IFERROR(__xludf.DUMMYFUNCTION("IMPORTRANGE(""https://docs.google.com/spreadsheets/d/11923uPwbBZFjjGgGUA6NLw09EwE0CqkOc4q9oUmW1yo/edit?usp=sharing"",""แม่ฮ่องสอน!I368"")"),4665)</f>
        <v>4665</v>
      </c>
      <c r="J473" s="420">
        <f ca="1">IFERROR(__xludf.DUMMYFUNCTION("IMPORTRANGE(""https://docs.google.com/spreadsheets/d/11923uPwbBZFjjGgGUA6NLw09EwE0CqkOc4q9oUmW1yo/edit?usp=sharing"",""แม่ฮ่องสอน!J368"")"),4665)</f>
        <v>4665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IFERROR(__xludf.DUMMYFUNCTION("IMPORTRANGE(""https://docs.google.com/spreadsheets/d/11923uPwbBZFjjGgGUA6NLw09EwE0CqkOc4q9oUmW1yo/edit?usp=sharing"",""แม่ฮ่องสอน!I369"")"),1134)</f>
        <v>1134</v>
      </c>
      <c r="J474" s="420">
        <f ca="1">IFERROR(__xludf.DUMMYFUNCTION("IMPORTRANGE(""https://docs.google.com/spreadsheets/d/11923uPwbBZFjjGgGUA6NLw09EwE0CqkOc4q9oUmW1yo/edit?usp=sharing"",""แม่ฮ่องสอน!J369"")"),1134)</f>
        <v>1134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IFERROR(__xludf.DUMMYFUNCTION("IMPORTRANGE(""https://docs.google.com/spreadsheets/d/11923uPwbBZFjjGgGUA6NLw09EwE0CqkOc4q9oUmW1yo/edit?usp=sharing"",""แม่ฮ่องสอน!I370"")"),0)</f>
        <v>0</v>
      </c>
      <c r="J475" s="188">
        <f ca="1">IFERROR(__xludf.DUMMYFUNCTION("IMPORTRANGE(""https://docs.google.com/spreadsheets/d/11923uPwbBZFjjGgGUA6NLw09EwE0CqkOc4q9oUmW1yo/edit?usp=sharing"",""แม่ฮ่องสอน!J370"")"),4634)</f>
        <v>4634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IFERROR(__xludf.DUMMYFUNCTION("IMPORTRANGE(""https://docs.google.com/spreadsheets/d/11923uPwbBZFjjGgGUA6NLw09EwE0CqkOc4q9oUmW1yo/edit?usp=sharing"",""แม่ฮ่องสอน!I371"")"),0)</f>
        <v>0</v>
      </c>
      <c r="J476" s="188">
        <f ca="1">IFERROR(__xludf.DUMMYFUNCTION("IMPORTRANGE(""https://docs.google.com/spreadsheets/d/11923uPwbBZFjjGgGUA6NLw09EwE0CqkOc4q9oUmW1yo/edit?usp=sharing"",""แม่ฮ่องสอน!J371"")"),1122)</f>
        <v>1122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IFERROR(__xludf.DUMMYFUNCTION("IMPORTRANGE(""https://docs.google.com/spreadsheets/d/11923uPwbBZFjjGgGUA6NLw09EwE0CqkOc4q9oUmW1yo/edit?usp=sharing"",""แม่ฮ่องสอน!I372"")"),0)</f>
        <v>0</v>
      </c>
      <c r="J477" s="188">
        <f ca="1">IFERROR(__xludf.DUMMYFUNCTION("IMPORTRANGE(""https://docs.google.com/spreadsheets/d/11923uPwbBZFjjGgGUA6NLw09EwE0CqkOc4q9oUmW1yo/edit?usp=sharing"",""แม่ฮ่องสอน!J372"")"),13)</f>
        <v>13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IFERROR(__xludf.DUMMYFUNCTION("IMPORTRANGE(""https://docs.google.com/spreadsheets/d/11923uPwbBZFjjGgGUA6NLw09EwE0CqkOc4q9oUmW1yo/edit?usp=sharing"",""แม่ฮ่องสอน!I373"")"),0)</f>
        <v>0</v>
      </c>
      <c r="J478" s="188">
        <f ca="1">IFERROR(__xludf.DUMMYFUNCTION("IMPORTRANGE(""https://docs.google.com/spreadsheets/d/11923uPwbBZFjjGgGUA6NLw09EwE0CqkOc4q9oUmW1yo/edit?usp=sharing"",""แม่ฮ่องสอน!J373"")"),8)</f>
        <v>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IFERROR(__xludf.DUMMYFUNCTION("IMPORTRANGE(""https://docs.google.com/spreadsheets/d/11923uPwbBZFjjGgGUA6NLw09EwE0CqkOc4q9oUmW1yo/edit?usp=sharing"",""แม่ฮ่องสอน!I374"")"),0)</f>
        <v>0</v>
      </c>
      <c r="J479" s="188">
        <f ca="1">IFERROR(__xludf.DUMMYFUNCTION("IMPORTRANGE(""https://docs.google.com/spreadsheets/d/11923uPwbBZFjjGgGUA6NLw09EwE0CqkOc4q9oUmW1yo/edit?usp=sharing"",""แม่ฮ่องสอน!J374"")"),18)</f>
        <v>18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IFERROR(__xludf.DUMMYFUNCTION("IMPORTRANGE(""https://docs.google.com/spreadsheets/d/11923uPwbBZFjjGgGUA6NLw09EwE0CqkOc4q9oUmW1yo/edit?usp=sharing"",""แม่ฮ่องสอน!I375"")"),0)</f>
        <v>0</v>
      </c>
      <c r="J480" s="188">
        <f ca="1">IFERROR(__xludf.DUMMYFUNCTION("IMPORTRANGE(""https://docs.google.com/spreadsheets/d/11923uPwbBZFjjGgGUA6NLw09EwE0CqkOc4q9oUmW1yo/edit?usp=sharing"",""แม่ฮ่องสอน!J375"")"),4)</f>
        <v>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IFERROR(__xludf.DUMMYFUNCTION("IMPORTRANGE(""https://docs.google.com/spreadsheets/d/11923uPwbBZFjjGgGUA6NLw09EwE0CqkOc4q9oUmW1yo/edit?usp=sharing"",""แม่ฮ่องสอน!I376"")"),4665)</f>
        <v>4665</v>
      </c>
      <c r="J481" s="420">
        <f ca="1">IFERROR(__xludf.DUMMYFUNCTION("IMPORTRANGE(""https://docs.google.com/spreadsheets/d/11923uPwbBZFjjGgGUA6NLw09EwE0CqkOc4q9oUmW1yo/edit?usp=sharing"",""แม่ฮ่องสอน!J376"")"),4665)</f>
        <v>4665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IFERROR(__xludf.DUMMYFUNCTION("IMPORTRANGE(""https://docs.google.com/spreadsheets/d/11923uPwbBZFjjGgGUA6NLw09EwE0CqkOc4q9oUmW1yo/edit?usp=sharing"",""แม่ฮ่องสอน!I377"")"),1134)</f>
        <v>1134</v>
      </c>
      <c r="J482" s="420">
        <f ca="1">IFERROR(__xludf.DUMMYFUNCTION("IMPORTRANGE(""https://docs.google.com/spreadsheets/d/11923uPwbBZFjjGgGUA6NLw09EwE0CqkOc4q9oUmW1yo/edit?usp=sharing"",""แม่ฮ่องสอน!J377"")"),1134)</f>
        <v>1134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IFERROR(__xludf.DUMMYFUNCTION("IMPORTRANGE(""https://docs.google.com/spreadsheets/d/11923uPwbBZFjjGgGUA6NLw09EwE0CqkOc4q9oUmW1yo/edit?usp=sharing"",""แม่ฮ่องสอน!I378"")"),0)</f>
        <v>0</v>
      </c>
      <c r="J483" s="188">
        <f ca="1">IFERROR(__xludf.DUMMYFUNCTION("IMPORTRANGE(""https://docs.google.com/spreadsheets/d/11923uPwbBZFjjGgGUA6NLw09EwE0CqkOc4q9oUmW1yo/edit?usp=sharing"",""แม่ฮ่องสอน!J378"")"),4634)</f>
        <v>4634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IFERROR(__xludf.DUMMYFUNCTION("IMPORTRANGE(""https://docs.google.com/spreadsheets/d/11923uPwbBZFjjGgGUA6NLw09EwE0CqkOc4q9oUmW1yo/edit?usp=sharing"",""แม่ฮ่องสอน!I379"")"),0)</f>
        <v>0</v>
      </c>
      <c r="J484" s="188">
        <f ca="1">IFERROR(__xludf.DUMMYFUNCTION("IMPORTRANGE(""https://docs.google.com/spreadsheets/d/11923uPwbBZFjjGgGUA6NLw09EwE0CqkOc4q9oUmW1yo/edit?usp=sharing"",""แม่ฮ่องสอน!J379"")"),1122)</f>
        <v>1122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IFERROR(__xludf.DUMMYFUNCTION("IMPORTRANGE(""https://docs.google.com/spreadsheets/d/11923uPwbBZFjjGgGUA6NLw09EwE0CqkOc4q9oUmW1yo/edit?usp=sharing"",""แม่ฮ่องสอน!I380"")"),0)</f>
        <v>0</v>
      </c>
      <c r="J485" s="188">
        <f ca="1">IFERROR(__xludf.DUMMYFUNCTION("IMPORTRANGE(""https://docs.google.com/spreadsheets/d/11923uPwbBZFjjGgGUA6NLw09EwE0CqkOc4q9oUmW1yo/edit?usp=sharing"",""แม่ฮ่องสอน!J380"")"),13)</f>
        <v>13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IFERROR(__xludf.DUMMYFUNCTION("IMPORTRANGE(""https://docs.google.com/spreadsheets/d/11923uPwbBZFjjGgGUA6NLw09EwE0CqkOc4q9oUmW1yo/edit?usp=sharing"",""แม่ฮ่องสอน!I381"")"),0)</f>
        <v>0</v>
      </c>
      <c r="J486" s="188">
        <f ca="1">IFERROR(__xludf.DUMMYFUNCTION("IMPORTRANGE(""https://docs.google.com/spreadsheets/d/11923uPwbBZFjjGgGUA6NLw09EwE0CqkOc4q9oUmW1yo/edit?usp=sharing"",""แม่ฮ่องสอน!J381"")"),8)</f>
        <v>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IFERROR(__xludf.DUMMYFUNCTION("IMPORTRANGE(""https://docs.google.com/spreadsheets/d/11923uPwbBZFjjGgGUA6NLw09EwE0CqkOc4q9oUmW1yo/edit?usp=sharing"",""แม่ฮ่องสอน!I382"")"),0)</f>
        <v>0</v>
      </c>
      <c r="J487" s="420">
        <f ca="1">IFERROR(__xludf.DUMMYFUNCTION("IMPORTRANGE(""https://docs.google.com/spreadsheets/d/11923uPwbBZFjjGgGUA6NLw09EwE0CqkOc4q9oUmW1yo/edit?usp=sharing"",""แม่ฮ่องสอน!J382"")"),18)</f>
        <v>18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IFERROR(__xludf.DUMMYFUNCTION("IMPORTRANGE(""https://docs.google.com/spreadsheets/d/11923uPwbBZFjjGgGUA6NLw09EwE0CqkOc4q9oUmW1yo/edit?usp=sharing"",""แม่ฮ่องสอน!I383"")"),0)</f>
        <v>0</v>
      </c>
      <c r="J488" s="420">
        <f ca="1">IFERROR(__xludf.DUMMYFUNCTION("IMPORTRANGE(""https://docs.google.com/spreadsheets/d/11923uPwbBZFjjGgGUA6NLw09EwE0CqkOc4q9oUmW1yo/edit?usp=sharing"",""แม่ฮ่องสอน!J383"")"),4)</f>
        <v>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IFERROR(__xludf.DUMMYFUNCTION("IMPORTRANGE(""https://docs.google.com/spreadsheets/d/11923uPwbBZFjjGgGUA6NLw09EwE0CqkOc4q9oUmW1yo/edit?usp=sharing"",""แม่ฮ่องสอน!I384"")"),0)</f>
        <v>0</v>
      </c>
      <c r="J489" s="188">
        <f ca="1">IFERROR(__xludf.DUMMYFUNCTION("IMPORTRANGE(""https://docs.google.com/spreadsheets/d/11923uPwbBZFjjGgGUA6NLw09EwE0CqkOc4q9oUmW1yo/edit?usp=sharing"",""แม่ฮ่องสอน!J384"")"),18)</f>
        <v>18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IFERROR(__xludf.DUMMYFUNCTION("IMPORTRANGE(""https://docs.google.com/spreadsheets/d/11923uPwbBZFjjGgGUA6NLw09EwE0CqkOc4q9oUmW1yo/edit?usp=sharing"",""แม่ฮ่องสอน!I385"")"),0)</f>
        <v>0</v>
      </c>
      <c r="J490" s="188">
        <f ca="1">IFERROR(__xludf.DUMMYFUNCTION("IMPORTRANGE(""https://docs.google.com/spreadsheets/d/11923uPwbBZFjjGgGUA6NLw09EwE0CqkOc4q9oUmW1yo/edit?usp=sharing"",""แม่ฮ่องสอน!J385"")"),4)</f>
        <v>4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IFERROR(__xludf.DUMMYFUNCTION("IMPORTRANGE(""https://docs.google.com/spreadsheets/d/11923uPwbBZFjjGgGUA6NLw09EwE0CqkOc4q9oUmW1yo/edit?usp=sharing"",""แม่ฮ่องสอน!I386"")"),0)</f>
        <v>0</v>
      </c>
      <c r="J491" s="188">
        <f ca="1">IFERROR(__xludf.DUMMYFUNCTION("IMPORTRANGE(""https://docs.google.com/spreadsheets/d/11923uPwbBZFjjGgGUA6NLw09EwE0CqkOc4q9oUmW1yo/edit?usp=sharing"",""แม่ฮ่องสอน!J386"")"),0)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IFERROR(__xludf.DUMMYFUNCTION("IMPORTRANGE(""https://docs.google.com/spreadsheets/d/11923uPwbBZFjjGgGUA6NLw09EwE0CqkOc4q9oUmW1yo/edit?usp=sharing"",""แม่ฮ่องสอน!I387"")"),0)</f>
        <v>0</v>
      </c>
      <c r="J492" s="188">
        <f ca="1">IFERROR(__xludf.DUMMYFUNCTION("IMPORTRANGE(""https://docs.google.com/spreadsheets/d/11923uPwbBZFjjGgGUA6NLw09EwE0CqkOc4q9oUmW1yo/edit?usp=sharing"",""แม่ฮ่องสอน!J387"")"),0)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IFERROR(__xludf.DUMMYFUNCTION("IMPORTRANGE(""https://docs.google.com/spreadsheets/d/11923uPwbBZFjjGgGUA6NLw09EwE0CqkOc4q9oUmW1yo/edit?usp=sharing"",""แม่ฮ่องสอน!I388"")"),0)</f>
        <v>0</v>
      </c>
      <c r="J493" s="188">
        <f ca="1">IFERROR(__xludf.DUMMYFUNCTION("IMPORTRANGE(""https://docs.google.com/spreadsheets/d/11923uPwbBZFjjGgGUA6NLw09EwE0CqkOc4q9oUmW1yo/edit?usp=sharing"",""แม่ฮ่องสอน!J388"")"),0)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IFERROR(__xludf.DUMMYFUNCTION("IMPORTRANGE(""https://docs.google.com/spreadsheets/d/11923uPwbBZFjjGgGUA6NLw09EwE0CqkOc4q9oUmW1yo/edit?usp=sharing"",""แม่ฮ่องสอน!I389"")"),0)</f>
        <v>0</v>
      </c>
      <c r="J494" s="436">
        <f ca="1">IFERROR(__xludf.DUMMYFUNCTION("IMPORTRANGE(""https://docs.google.com/spreadsheets/d/11923uPwbBZFjjGgGUA6NLw09EwE0CqkOc4q9oUmW1yo/edit?usp=sharing"",""แม่ฮ่องสอน!J389"")"),0)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IFERROR(__xludf.DUMMYFUNCTION("IMPORTRANGE(""https://docs.google.com/spreadsheets/d/11923uPwbBZFjjGgGUA6NLw09EwE0CqkOc4q9oUmW1yo/edit?usp=sharing"",""แม่ฮ่องสอน!I390"")"),0)</f>
        <v>0</v>
      </c>
      <c r="J495" s="436">
        <f ca="1">IFERROR(__xludf.DUMMYFUNCTION("IMPORTRANGE(""https://docs.google.com/spreadsheets/d/11923uPwbBZFjjGgGUA6NLw09EwE0CqkOc4q9oUmW1yo/edit?usp=sharing"",""แม่ฮ่องสอน!J390"")"),0)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IFERROR(__xludf.DUMMYFUNCTION("IMPORTRANGE(""https://docs.google.com/spreadsheets/d/11923uPwbBZFjjGgGUA6NLw09EwE0CqkOc4q9oUmW1yo/edit?usp=sharing"",""แม่ฮ่องสอน!I391"")"),0)</f>
        <v>0</v>
      </c>
      <c r="J496" s="436">
        <f ca="1">IFERROR(__xludf.DUMMYFUNCTION("IMPORTRANGE(""https://docs.google.com/spreadsheets/d/11923uPwbBZFjjGgGUA6NLw09EwE0CqkOc4q9oUmW1yo/edit?usp=sharing"",""แม่ฮ่องสอน!J391"")"),0)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IFERROR(__xludf.DUMMYFUNCTION("IMPORTRANGE(""https://docs.google.com/spreadsheets/d/11923uPwbBZFjjGgGUA6NLw09EwE0CqkOc4q9oUmW1yo/edit?usp=sharing"",""แม่ฮ่องสอน!I392"")"),21)</f>
        <v>21</v>
      </c>
      <c r="J497" s="443">
        <f ca="1">IFERROR(__xludf.DUMMYFUNCTION("IMPORTRANGE(""https://docs.google.com/spreadsheets/d/11923uPwbBZFjjGgGUA6NLw09EwE0CqkOc4q9oUmW1yo/edit?usp=sharing"",""แม่ฮ่องสอน!J392"")"),21)</f>
        <v>21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IFERROR(__xludf.DUMMYFUNCTION("IMPORTRANGE(""https://docs.google.com/spreadsheets/d/11923uPwbBZFjjGgGUA6NLw09EwE0CqkOc4q9oUmW1yo/edit?usp=sharing"",""แม่ฮ่องสอน!I393"")"),21)</f>
        <v>21</v>
      </c>
      <c r="J498" s="420">
        <f ca="1">IFERROR(__xludf.DUMMYFUNCTION("IMPORTRANGE(""https://docs.google.com/spreadsheets/d/11923uPwbBZFjjGgGUA6NLw09EwE0CqkOc4q9oUmW1yo/edit?usp=sharing"",""แม่ฮ่องสอน!J393"")"),21)</f>
        <v>21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IFERROR(__xludf.DUMMYFUNCTION("IMPORTRANGE(""https://docs.google.com/spreadsheets/d/11923uPwbBZFjjGgGUA6NLw09EwE0CqkOc4q9oUmW1yo/edit?usp=sharing"",""แม่ฮ่องสอน!I394"")"),7)</f>
        <v>7</v>
      </c>
      <c r="J499" s="420">
        <f ca="1">IFERROR(__xludf.DUMMYFUNCTION("IMPORTRANGE(""https://docs.google.com/spreadsheets/d/11923uPwbBZFjjGgGUA6NLw09EwE0CqkOc4q9oUmW1yo/edit?usp=sharing"",""แม่ฮ่องสอน!J394"")"),7)</f>
        <v>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IFERROR(__xludf.DUMMYFUNCTION("IMPORTRANGE(""https://docs.google.com/spreadsheets/d/11923uPwbBZFjjGgGUA6NLw09EwE0CqkOc4q9oUmW1yo/edit?usp=sharing"",""แม่ฮ่องสอน!I395"")"),0)</f>
        <v>0</v>
      </c>
      <c r="J500" s="162">
        <f ca="1">IFERROR(__xludf.DUMMYFUNCTION("IMPORTRANGE(""https://docs.google.com/spreadsheets/d/11923uPwbBZFjjGgGUA6NLw09EwE0CqkOc4q9oUmW1yo/edit?usp=sharing"",""แม่ฮ่องสอน!J395"")"),16)</f>
        <v>16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IFERROR(__xludf.DUMMYFUNCTION("IMPORTRANGE(""https://docs.google.com/spreadsheets/d/11923uPwbBZFjjGgGUA6NLw09EwE0CqkOc4q9oUmW1yo/edit?usp=sharing"",""แม่ฮ่องสอน!I396"")"),0)</f>
        <v>0</v>
      </c>
      <c r="J501" s="162">
        <f ca="1">IFERROR(__xludf.DUMMYFUNCTION("IMPORTRANGE(""https://docs.google.com/spreadsheets/d/11923uPwbBZFjjGgGUA6NLw09EwE0CqkOc4q9oUmW1yo/edit?usp=sharing"",""แม่ฮ่องสอน!J396"")"),4)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IFERROR(__xludf.DUMMYFUNCTION("IMPORTRANGE(""https://docs.google.com/spreadsheets/d/11923uPwbBZFjjGgGUA6NLw09EwE0CqkOc4q9oUmW1yo/edit?usp=sharing"",""แม่ฮ่องสอน!I397"")"),0)</f>
        <v>0</v>
      </c>
      <c r="J502" s="188">
        <f ca="1">IFERROR(__xludf.DUMMYFUNCTION("IMPORTRANGE(""https://docs.google.com/spreadsheets/d/11923uPwbBZFjjGgGUA6NLw09EwE0CqkOc4q9oUmW1yo/edit?usp=sharing"",""แม่ฮ่องสอน!J397"")"),4)</f>
        <v>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IFERROR(__xludf.DUMMYFUNCTION("IMPORTRANGE(""https://docs.google.com/spreadsheets/d/11923uPwbBZFjjGgGUA6NLw09EwE0CqkOc4q9oUmW1yo/edit?usp=sharing"",""แม่ฮ่องสอน!I398"")"),0)</f>
        <v>0</v>
      </c>
      <c r="J503" s="197">
        <f ca="1">IFERROR(__xludf.DUMMYFUNCTION("IMPORTRANGE(""https://docs.google.com/spreadsheets/d/11923uPwbBZFjjGgGUA6NLw09EwE0CqkOc4q9oUmW1yo/edit?usp=sharing"",""แม่ฮ่องสอน!J398"")"),1)</f>
        <v>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IFERROR(__xludf.DUMMYFUNCTION("IMPORTRANGE(""https://docs.google.com/spreadsheets/d/11923uPwbBZFjjGgGUA6NLw09EwE0CqkOc4q9oUmW1yo/edit?usp=sharing"",""แม่ฮ่องสอน!I399"")"),0)</f>
        <v>0</v>
      </c>
      <c r="J504" s="188">
        <f ca="1">IFERROR(__xludf.DUMMYFUNCTION("IMPORTRANGE(""https://docs.google.com/spreadsheets/d/11923uPwbBZFjjGgGUA6NLw09EwE0CqkOc4q9oUmW1yo/edit?usp=sharing"",""แม่ฮ่องสอน!J399"")"),12)</f>
        <v>12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IFERROR(__xludf.DUMMYFUNCTION("IMPORTRANGE(""https://docs.google.com/spreadsheets/d/11923uPwbBZFjjGgGUA6NLw09EwE0CqkOc4q9oUmW1yo/edit?usp=sharing"",""แม่ฮ่องสอน!I400"")"),0)</f>
        <v>0</v>
      </c>
      <c r="J505" s="197">
        <f ca="1">IFERROR(__xludf.DUMMYFUNCTION("IMPORTRANGE(""https://docs.google.com/spreadsheets/d/11923uPwbBZFjjGgGUA6NLw09EwE0CqkOc4q9oUmW1yo/edit?usp=sharing"",""แม่ฮ่องสอน!J400"")"),3)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IFERROR(__xludf.DUMMYFUNCTION("IMPORTRANGE(""https://docs.google.com/spreadsheets/d/11923uPwbBZFjjGgGUA6NLw09EwE0CqkOc4q9oUmW1yo/edit?usp=sharing"",""แม่ฮ่องสอน!I401"")"),0)</f>
        <v>0</v>
      </c>
      <c r="J506" s="188">
        <f ca="1">IFERROR(__xludf.DUMMYFUNCTION("IMPORTRANGE(""https://docs.google.com/spreadsheets/d/11923uPwbBZFjjGgGUA6NLw09EwE0CqkOc4q9oUmW1yo/edit?usp=sharing"",""แม่ฮ่องสอน!J401"")"),0)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IFERROR(__xludf.DUMMYFUNCTION("IMPORTRANGE(""https://docs.google.com/spreadsheets/d/11923uPwbBZFjjGgGUA6NLw09EwE0CqkOc4q9oUmW1yo/edit?usp=sharing"",""แม่ฮ่องสอน!I402"")"),0)</f>
        <v>0</v>
      </c>
      <c r="J507" s="197">
        <f ca="1">IFERROR(__xludf.DUMMYFUNCTION("IMPORTRANGE(""https://docs.google.com/spreadsheets/d/11923uPwbBZFjjGgGUA6NLw09EwE0CqkOc4q9oUmW1yo/edit?usp=sharing"",""แม่ฮ่องสอน!J402"")"),0)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IFERROR(__xludf.DUMMYFUNCTION("IMPORTRANGE(""https://docs.google.com/spreadsheets/d/11923uPwbBZFjjGgGUA6NLw09EwE0CqkOc4q9oUmW1yo/edit?usp=sharing"",""แม่ฮ่องสอน!I403"")"),0)</f>
        <v>0</v>
      </c>
      <c r="J508" s="162">
        <f ca="1">IFERROR(__xludf.DUMMYFUNCTION("IMPORTRANGE(""https://docs.google.com/spreadsheets/d/11923uPwbBZFjjGgGUA6NLw09EwE0CqkOc4q9oUmW1yo/edit?usp=sharing"",""แม่ฮ่องสอน!J403"")"),5)</f>
        <v>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IFERROR(__xludf.DUMMYFUNCTION("IMPORTRANGE(""https://docs.google.com/spreadsheets/d/11923uPwbBZFjjGgGUA6NLw09EwE0CqkOc4q9oUmW1yo/edit?usp=sharing"",""แม่ฮ่องสอน!I404"")"),0)</f>
        <v>0</v>
      </c>
      <c r="J509" s="162">
        <f ca="1">IFERROR(__xludf.DUMMYFUNCTION("IMPORTRANGE(""https://docs.google.com/spreadsheets/d/11923uPwbBZFjjGgGUA6NLw09EwE0CqkOc4q9oUmW1yo/edit?usp=sharing"",""แม่ฮ่องสอน!J404"")"),3)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IFERROR(__xludf.DUMMYFUNCTION("IMPORTRANGE(""https://docs.google.com/spreadsheets/d/11923uPwbBZFjjGgGUA6NLw09EwE0CqkOc4q9oUmW1yo/edit?usp=sharing"",""แม่ฮ่องสอน!I405"")"),0)</f>
        <v>0</v>
      </c>
      <c r="J510" s="197">
        <f ca="1">IFERROR(__xludf.DUMMYFUNCTION("IMPORTRANGE(""https://docs.google.com/spreadsheets/d/11923uPwbBZFjjGgGUA6NLw09EwE0CqkOc4q9oUmW1yo/edit?usp=sharing"",""แม่ฮ่องสอน!J405"")"),0)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IFERROR(__xludf.DUMMYFUNCTION("IMPORTRANGE(""https://docs.google.com/spreadsheets/d/11923uPwbBZFjjGgGUA6NLw09EwE0CqkOc4q9oUmW1yo/edit?usp=sharing"",""แม่ฮ่องสอน!I406"")"),0)</f>
        <v>0</v>
      </c>
      <c r="J511" s="197">
        <f ca="1">IFERROR(__xludf.DUMMYFUNCTION("IMPORTRANGE(""https://docs.google.com/spreadsheets/d/11923uPwbBZFjjGgGUA6NLw09EwE0CqkOc4q9oUmW1yo/edit?usp=sharing"",""แม่ฮ่องสอน!J406"")"),0)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IFERROR(__xludf.DUMMYFUNCTION("IMPORTRANGE(""https://docs.google.com/spreadsheets/d/11923uPwbBZFjjGgGUA6NLw09EwE0CqkOc4q9oUmW1yo/edit?usp=sharing"",""แม่ฮ่องสอน!I407"")"),0)</f>
        <v>0</v>
      </c>
      <c r="J512" s="197">
        <f ca="1">IFERROR(__xludf.DUMMYFUNCTION("IMPORTRANGE(""https://docs.google.com/spreadsheets/d/11923uPwbBZFjjGgGUA6NLw09EwE0CqkOc4q9oUmW1yo/edit?usp=sharing"",""แม่ฮ่องสอน!J407"")"),5)</f>
        <v>5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IFERROR(__xludf.DUMMYFUNCTION("IMPORTRANGE(""https://docs.google.com/spreadsheets/d/11923uPwbBZFjjGgGUA6NLw09EwE0CqkOc4q9oUmW1yo/edit?usp=sharing"",""แม่ฮ่องสอน!I408"")"),0)</f>
        <v>0</v>
      </c>
      <c r="J513" s="197">
        <f ca="1">IFERROR(__xludf.DUMMYFUNCTION("IMPORTRANGE(""https://docs.google.com/spreadsheets/d/11923uPwbBZFjjGgGUA6NLw09EwE0CqkOc4q9oUmW1yo/edit?usp=sharing"",""แม่ฮ่องสอน!J408"")"),3)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IFERROR(__xludf.DUMMYFUNCTION("IMPORTRANGE(""https://docs.google.com/spreadsheets/d/11923uPwbBZFjjGgGUA6NLw09EwE0CqkOc4q9oUmW1yo/edit?usp=sharing"",""แม่ฮ่องสอน!I409"")"),0)</f>
        <v>0</v>
      </c>
      <c r="J514" s="197">
        <f ca="1">IFERROR(__xludf.DUMMYFUNCTION("IMPORTRANGE(""https://docs.google.com/spreadsheets/d/11923uPwbBZFjjGgGUA6NLw09EwE0CqkOc4q9oUmW1yo/edit?usp=sharing"",""แม่ฮ่องสอน!J409"")"),0)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IFERROR(__xludf.DUMMYFUNCTION("IMPORTRANGE(""https://docs.google.com/spreadsheets/d/11923uPwbBZFjjGgGUA6NLw09EwE0CqkOc4q9oUmW1yo/edit?usp=sharing"",""แม่ฮ่องสอน!I410"")"),0)</f>
        <v>0</v>
      </c>
      <c r="J515" s="197">
        <f ca="1">IFERROR(__xludf.DUMMYFUNCTION("IMPORTRANGE(""https://docs.google.com/spreadsheets/d/11923uPwbBZFjjGgGUA6NLw09EwE0CqkOc4q9oUmW1yo/edit?usp=sharing"",""แม่ฮ่องสอน!J410"")"),0)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IFERROR(__xludf.DUMMYFUNCTION("IMPORTRANGE(""https://docs.google.com/spreadsheets/d/11923uPwbBZFjjGgGUA6NLw09EwE0CqkOc4q9oUmW1yo/edit?usp=sharing"",""แม่ฮ่องสอน!I411"")"),0)</f>
        <v>0</v>
      </c>
      <c r="J516" s="267">
        <f ca="1">IFERROR(__xludf.DUMMYFUNCTION("IMPORTRANGE(""https://docs.google.com/spreadsheets/d/11923uPwbBZFjjGgGUA6NLw09EwE0CqkOc4q9oUmW1yo/edit?usp=sharing"",""แม่ฮ่องสอน!J411"")"),0)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IFERROR(__xludf.DUMMYFUNCTION("IMPORTRANGE(""https://docs.google.com/spreadsheets/d/11923uPwbBZFjjGgGUA6NLw09EwE0CqkOc4q9oUmW1yo/edit?usp=sharing"",""แม่ฮ่องสอน!I412"")"),0)</f>
        <v>0</v>
      </c>
      <c r="J517" s="284">
        <f ca="1">IFERROR(__xludf.DUMMYFUNCTION("IMPORTRANGE(""https://docs.google.com/spreadsheets/d/11923uPwbBZFjjGgGUA6NLw09EwE0CqkOc4q9oUmW1yo/edit?usp=sharing"",""แม่ฮ่องสอน!J412"")"),0)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IFERROR(__xludf.DUMMYFUNCTION("IMPORTRANGE(""https://docs.google.com/spreadsheets/d/11923uPwbBZFjjGgGUA6NLw09EwE0CqkOc4q9oUmW1yo/edit?usp=sharing"",""แม่ฮ่องสอน!I413"")"),0)</f>
        <v>0</v>
      </c>
      <c r="J518" s="284">
        <f ca="1">IFERROR(__xludf.DUMMYFUNCTION("IMPORTRANGE(""https://docs.google.com/spreadsheets/d/11923uPwbBZFjjGgGUA6NLw09EwE0CqkOc4q9oUmW1yo/edit?usp=sharing"",""แม่ฮ่องสอน!J413"")"),0)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IFERROR(__xludf.DUMMYFUNCTION("IMPORTRANGE(""https://docs.google.com/spreadsheets/d/11923uPwbBZFjjGgGUA6NLw09EwE0CqkOc4q9oUmW1yo/edit?usp=sharing"",""แม่ฮ่องสอน!I414"")"),0)</f>
        <v>0</v>
      </c>
      <c r="J519" s="187">
        <f ca="1">IFERROR(__xludf.DUMMYFUNCTION("IMPORTRANGE(""https://docs.google.com/spreadsheets/d/11923uPwbBZFjjGgGUA6NLw09EwE0CqkOc4q9oUmW1yo/edit?usp=sharing"",""แม่ฮ่องสอน!J414"")"),0)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IFERROR(__xludf.DUMMYFUNCTION("IMPORTRANGE(""https://docs.google.com/spreadsheets/d/11923uPwbBZFjjGgGUA6NLw09EwE0CqkOc4q9oUmW1yo/edit?usp=sharing"",""แม่ฮ่องสอน!I415"")"),0)</f>
        <v>0</v>
      </c>
      <c r="J520" s="187">
        <f ca="1">IFERROR(__xludf.DUMMYFUNCTION("IMPORTRANGE(""https://docs.google.com/spreadsheets/d/11923uPwbBZFjjGgGUA6NLw09EwE0CqkOc4q9oUmW1yo/edit?usp=sharing"",""แม่ฮ่องสอน!J415"")"),0)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IFERROR(__xludf.DUMMYFUNCTION("IMPORTRANGE(""https://docs.google.com/spreadsheets/d/11923uPwbBZFjjGgGUA6NLw09EwE0CqkOc4q9oUmW1yo/edit?usp=sharing"",""แม่ฮ่องสอน!I416"")"),0)</f>
        <v>0</v>
      </c>
      <c r="J521" s="187">
        <f ca="1">IFERROR(__xludf.DUMMYFUNCTION("IMPORTRANGE(""https://docs.google.com/spreadsheets/d/11923uPwbBZFjjGgGUA6NLw09EwE0CqkOc4q9oUmW1yo/edit?usp=sharing"",""แม่ฮ่องสอน!J416"")"),0)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IFERROR(__xludf.DUMMYFUNCTION("IMPORTRANGE(""https://docs.google.com/spreadsheets/d/11923uPwbBZFjjGgGUA6NLw09EwE0CqkOc4q9oUmW1yo/edit?usp=sharing"",""แม่ฮ่องสอน!I417"")"),0)</f>
        <v>0</v>
      </c>
      <c r="J522" s="187">
        <f ca="1">IFERROR(__xludf.DUMMYFUNCTION("IMPORTRANGE(""https://docs.google.com/spreadsheets/d/11923uPwbBZFjjGgGUA6NLw09EwE0CqkOc4q9oUmW1yo/edit?usp=sharing"",""แม่ฮ่องสอน!J417"")"),0)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IFERROR(__xludf.DUMMYFUNCTION("IMPORTRANGE(""https://docs.google.com/spreadsheets/d/11923uPwbBZFjjGgGUA6NLw09EwE0CqkOc4q9oUmW1yo/edit?usp=sharing"",""แม่ฮ่องสอน!I418"")"),0)</f>
        <v>0</v>
      </c>
      <c r="J523" s="187">
        <f ca="1">IFERROR(__xludf.DUMMYFUNCTION("IMPORTRANGE(""https://docs.google.com/spreadsheets/d/11923uPwbBZFjjGgGUA6NLw09EwE0CqkOc4q9oUmW1yo/edit?usp=sharing"",""แม่ฮ่องสอน!J418"")"),24)</f>
        <v>24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IFERROR(__xludf.DUMMYFUNCTION("IMPORTRANGE(""https://docs.google.com/spreadsheets/d/11923uPwbBZFjjGgGUA6NLw09EwE0CqkOc4q9oUmW1yo/edit?usp=sharing"",""แม่ฮ่องสอน!I419"")"),0)</f>
        <v>0</v>
      </c>
      <c r="J524" s="187">
        <f ca="1">IFERROR(__xludf.DUMMYFUNCTION("IMPORTRANGE(""https://docs.google.com/spreadsheets/d/11923uPwbBZFjjGgGUA6NLw09EwE0CqkOc4q9oUmW1yo/edit?usp=sharing"",""แม่ฮ่องสอน!J419"")"),4)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IFERROR(__xludf.DUMMYFUNCTION("IMPORTRANGE(""https://docs.google.com/spreadsheets/d/11923uPwbBZFjjGgGUA6NLw09EwE0CqkOc4q9oUmW1yo/edit?usp=sharing"",""แม่ฮ่องสอน!I420"")"),24)</f>
        <v>24</v>
      </c>
      <c r="J525" s="284">
        <f ca="1">IFERROR(__xludf.DUMMYFUNCTION("IMPORTRANGE(""https://docs.google.com/spreadsheets/d/11923uPwbBZFjjGgGUA6NLw09EwE0CqkOc4q9oUmW1yo/edit?usp=sharing"",""แม่ฮ่องสอน!J420"")"),24)</f>
        <v>24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IFERROR(__xludf.DUMMYFUNCTION("IMPORTRANGE(""https://docs.google.com/spreadsheets/d/11923uPwbBZFjjGgGUA6NLw09EwE0CqkOc4q9oUmW1yo/edit?usp=sharing"",""แม่ฮ่องสอน!I421"")"),4)</f>
        <v>4</v>
      </c>
      <c r="J526" s="284">
        <f ca="1">IFERROR(__xludf.DUMMYFUNCTION("IMPORTRANGE(""https://docs.google.com/spreadsheets/d/11923uPwbBZFjjGgGUA6NLw09EwE0CqkOc4q9oUmW1yo/edit?usp=sharing"",""แม่ฮ่องสอน!J421"")"),4)</f>
        <v>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IFERROR(__xludf.DUMMYFUNCTION("IMPORTRANGE(""https://docs.google.com/spreadsheets/d/11923uPwbBZFjjGgGUA6NLw09EwE0CqkOc4q9oUmW1yo/edit?usp=sharing"",""แม่ฮ่องสอน!I422"")"),0)</f>
        <v>0</v>
      </c>
      <c r="J527" s="197">
        <f ca="1">IFERROR(__xludf.DUMMYFUNCTION("IMPORTRANGE(""https://docs.google.com/spreadsheets/d/11923uPwbBZFjjGgGUA6NLw09EwE0CqkOc4q9oUmW1yo/edit?usp=sharing"",""แม่ฮ่องสอน!J422"")"),2.75)</f>
        <v>2.75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IFERROR(__xludf.DUMMYFUNCTION("IMPORTRANGE(""https://docs.google.com/spreadsheets/d/11923uPwbBZFjjGgGUA6NLw09EwE0CqkOc4q9oUmW1yo/edit?usp=sharing"",""แม่ฮ่องสอน!I423"")"),0)</f>
        <v>0</v>
      </c>
      <c r="J528" s="197">
        <f ca="1">IFERROR(__xludf.DUMMYFUNCTION("IMPORTRANGE(""https://docs.google.com/spreadsheets/d/11923uPwbBZFjjGgGUA6NLw09EwE0CqkOc4q9oUmW1yo/edit?usp=sharing"",""แม่ฮ่องสอน!J423"")"),1)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IFERROR(__xludf.DUMMYFUNCTION("IMPORTRANGE(""https://docs.google.com/spreadsheets/d/11923uPwbBZFjjGgGUA6NLw09EwE0CqkOc4q9oUmW1yo/edit?usp=sharing"",""แม่ฮ่องสอน!I424"")"),0)</f>
        <v>0</v>
      </c>
      <c r="J529" s="197">
        <f ca="1">IFERROR(__xludf.DUMMYFUNCTION("IMPORTRANGE(""https://docs.google.com/spreadsheets/d/11923uPwbBZFjjGgGUA6NLw09EwE0CqkOc4q9oUmW1yo/edit?usp=sharing"",""แม่ฮ่องสอน!J424"")"),21.25)</f>
        <v>21.25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IFERROR(__xludf.DUMMYFUNCTION("IMPORTRANGE(""https://docs.google.com/spreadsheets/d/11923uPwbBZFjjGgGUA6NLw09EwE0CqkOc4q9oUmW1yo/edit?usp=sharing"",""แม่ฮ่องสอน!I425"")"),0)</f>
        <v>0</v>
      </c>
      <c r="J530" s="197">
        <f ca="1">IFERROR(__xludf.DUMMYFUNCTION("IMPORTRANGE(""https://docs.google.com/spreadsheets/d/11923uPwbBZFjjGgGUA6NLw09EwE0CqkOc4q9oUmW1yo/edit?usp=sharing"",""แม่ฮ่องสอน!J425"")"),3)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IFERROR(__xludf.DUMMYFUNCTION("IMPORTRANGE(""https://docs.google.com/spreadsheets/d/11923uPwbBZFjjGgGUA6NLw09EwE0CqkOc4q9oUmW1yo/edit?usp=sharing"",""แม่ฮ่องสอน!I426"")"),0)</f>
        <v>0</v>
      </c>
      <c r="J531" s="197">
        <f ca="1">IFERROR(__xludf.DUMMYFUNCTION("IMPORTRANGE(""https://docs.google.com/spreadsheets/d/11923uPwbBZFjjGgGUA6NLw09EwE0CqkOc4q9oUmW1yo/edit?usp=sharing"",""แม่ฮ่องสอน!J426"")"),0)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IFERROR(__xludf.DUMMYFUNCTION("IMPORTRANGE(""https://docs.google.com/spreadsheets/d/11923uPwbBZFjjGgGUA6NLw09EwE0CqkOc4q9oUmW1yo/edit?usp=sharing"",""แม่ฮ่องสอน!I427"")"),0)</f>
        <v>0</v>
      </c>
      <c r="J532" s="466">
        <f ca="1">IFERROR(__xludf.DUMMYFUNCTION("IMPORTRANGE(""https://docs.google.com/spreadsheets/d/11923uPwbBZFjjGgGUA6NLw09EwE0CqkOc4q9oUmW1yo/edit?usp=sharing"",""แม่ฮ่องสอน!J427"")"),0)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IFERROR(__xludf.DUMMYFUNCTION("IMPORTRANGE(""https://docs.google.com/spreadsheets/d/11923uPwbBZFjjGgGUA6NLw09EwE0CqkOc4q9oUmW1yo/edit?usp=sharing"",""แม่ฮ่องสอน!I428"")"),22)</f>
        <v>22</v>
      </c>
      <c r="J533" s="409">
        <f ca="1">IFERROR(__xludf.DUMMYFUNCTION("IMPORTRANGE(""https://docs.google.com/spreadsheets/d/11923uPwbBZFjjGgGUA6NLw09EwE0CqkOc4q9oUmW1yo/edit?usp=sharing"",""แม่ฮ่องสอน!J428"")"),22)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IFERROR(__xludf.DUMMYFUNCTION("IMPORTRANGE(""https://docs.google.com/spreadsheets/d/11923uPwbBZFjjGgGUA6NLw09EwE0CqkOc4q9oUmW1yo/edit?usp=sharing"",""แม่ฮ่องสอน!L428"")"),34340)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IFERROR(__xludf.DUMMYFUNCTION("IMPORTRANGE(""https://docs.google.com/spreadsheets/d/11923uPwbBZFjjGgGUA6NLw09EwE0CqkOc4q9oUmW1yo/edit?usp=sharing"",""แม่ฮ่องสอน!M428"")"),30107)</f>
        <v>30107</v>
      </c>
      <c r="O533" s="411">
        <f t="shared" ref="O533:O537" ca="1" si="118">+IF(L533&gt;0,N533*100/L533,0)</f>
        <v>87.67326732673267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IFERROR(__xludf.DUMMYFUNCTION("IMPORTRANGE(""https://docs.google.com/spreadsheets/d/11923uPwbBZFjjGgGUA6NLw09EwE0CqkOc4q9oUmW1yo/edit?usp=sharing"",""แม่ฮ่องสอน!L429"")"),0)</f>
        <v>0</v>
      </c>
      <c r="M534" s="164"/>
      <c r="N534" s="168">
        <f ca="1">IFERROR(__xludf.DUMMYFUNCTION("IMPORTRANGE(""https://docs.google.com/spreadsheets/d/11923uPwbBZFjjGgGUA6NLw09EwE0CqkOc4q9oUmW1yo/edit?usp=sharing"",""แม่ฮ่องสอน!M429"")"),0)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IFERROR(__xludf.DUMMYFUNCTION("IMPORTRANGE(""https://docs.google.com/spreadsheets/d/11923uPwbBZFjjGgGUA6NLw09EwE0CqkOc4q9oUmW1yo/edit?usp=sharing"",""แม่ฮ่องสอน!L430"")"),34340)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IFERROR(__xludf.DUMMYFUNCTION("IMPORTRANGE(""https://docs.google.com/spreadsheets/d/11923uPwbBZFjjGgGUA6NLw09EwE0CqkOc4q9oUmW1yo/edit?usp=sharing"",""แม่ฮ่องสอน!M430"")"),30107)</f>
        <v>30107</v>
      </c>
      <c r="O535" s="168">
        <f t="shared" ca="1" si="118"/>
        <v>87.67326732673267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IFERROR(__xludf.DUMMYFUNCTION("IMPORTRANGE(""https://docs.google.com/spreadsheets/d/11923uPwbBZFjjGgGUA6NLw09EwE0CqkOc4q9oUmW1yo/edit?usp=sharing"",""แม่ฮ่องสอน!L431"")"),0)</f>
        <v>0</v>
      </c>
      <c r="M536" s="168"/>
      <c r="N536" s="168">
        <f ca="1">IFERROR(__xludf.DUMMYFUNCTION("IMPORTRANGE(""https://docs.google.com/spreadsheets/d/11923uPwbBZFjjGgGUA6NLw09EwE0CqkOc4q9oUmW1yo/edit?usp=sharing"",""แม่ฮ่องสอน!M431"")"),0)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IFERROR(__xludf.DUMMYFUNCTION("IMPORTRANGE(""https://docs.google.com/spreadsheets/d/11923uPwbBZFjjGgGUA6NLw09EwE0CqkOc4q9oUmW1yo/edit?usp=sharing"",""แม่ฮ่องสอน!L432"")"),34340)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IFERROR(__xludf.DUMMYFUNCTION("IMPORTRANGE(""https://docs.google.com/spreadsheets/d/11923uPwbBZFjjGgGUA6NLw09EwE0CqkOc4q9oUmW1yo/edit?usp=sharing"",""แม่ฮ่องสอน!M432"")"),30107)</f>
        <v>30107</v>
      </c>
      <c r="O537" s="168">
        <f t="shared" ca="1" si="118"/>
        <v>87.67326732673267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IFERROR(__xludf.DUMMYFUNCTION("IMPORTRANGE(""https://docs.google.com/spreadsheets/d/11923uPwbBZFjjGgGUA6NLw09EwE0CqkOc4q9oUmW1yo/edit?usp=sharing"",""แม่ฮ่องสอน!M433"")"),18740)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IFERROR(__xludf.DUMMYFUNCTION("IMPORTRANGE(""https://docs.google.com/spreadsheets/d/11923uPwbBZFjjGgGUA6NLw09EwE0CqkOc4q9oUmW1yo/edit?usp=sharing"",""แม่ฮ่องสอน!M434"")"),0)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IFERROR(__xludf.DUMMYFUNCTION("IMPORTRANGE(""https://docs.google.com/spreadsheets/d/11923uPwbBZFjjGgGUA6NLw09EwE0CqkOc4q9oUmW1yo/edit?usp=sharing"",""แม่ฮ่องสอน!M435"")"),0)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IFERROR(__xludf.DUMMYFUNCTION("IMPORTRANGE(""https://docs.google.com/spreadsheets/d/11923uPwbBZFjjGgGUA6NLw09EwE0CqkOc4q9oUmW1yo/edit?usp=sharing"",""แม่ฮ่องสอน!M436"")"),11367)</f>
        <v>11367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IFERROR(__xludf.DUMMYFUNCTION("IMPORTRANGE(""https://docs.google.com/spreadsheets/d/11923uPwbBZFjjGgGUA6NLw09EwE0CqkOc4q9oUmW1yo/edit?usp=sharing"",""แม่ฮ่องสอน!J438"")"),0)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IFERROR(__xludf.DUMMYFUNCTION("IMPORTRANGE(""https://docs.google.com/spreadsheets/d/11923uPwbBZFjjGgGUA6NLw09EwE0CqkOc4q9oUmW1yo/edit?usp=sharing"",""แม่ฮ่องสอน!J439"")"),1)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IFERROR(__xludf.DUMMYFUNCTION("IMPORTRANGE(""https://docs.google.com/spreadsheets/d/11923uPwbBZFjjGgGUA6NLw09EwE0CqkOc4q9oUmW1yo/edit?usp=sharing"",""แม่ฮ่องสอน!J440"")"),1)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IFERROR(__xludf.DUMMYFUNCTION("IMPORTRANGE(""https://docs.google.com/spreadsheets/d/11923uPwbBZFjjGgGUA6NLw09EwE0CqkOc4q9oUmW1yo/edit?usp=sharing"",""แม่ฮ่องสอน!J441"")"),1)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IFERROR(__xludf.DUMMYFUNCTION("IMPORTRANGE(""https://docs.google.com/spreadsheets/d/11923uPwbBZFjjGgGUA6NLw09EwE0CqkOc4q9oUmW1yo/edit?usp=sharing"",""แม่ฮ่องสอน!I442"")"),22)</f>
        <v>22</v>
      </c>
      <c r="J547" s="188">
        <f ca="1">IFERROR(__xludf.DUMMYFUNCTION("IMPORTRANGE(""https://docs.google.com/spreadsheets/d/11923uPwbBZFjjGgGUA6NLw09EwE0CqkOc4q9oUmW1yo/edit?usp=sharing"",""แม่ฮ่องสอน!J442"")"),22)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IFERROR(__xludf.DUMMYFUNCTION("IMPORTRANGE(""https://docs.google.com/spreadsheets/d/11923uPwbBZFjjGgGUA6NLw09EwE0CqkOc4q9oUmW1yo/edit?usp=sharing"",""แม่ฮ่องสอน!J166"")"),0)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IFERROR(__xludf.DUMMYFUNCTION("IMPORTRANGE(""https://docs.google.com/spreadsheets/d/11923uPwbBZFjjGgGUA6NLw09EwE0CqkOc4q9oUmW1yo/edit?usp=sharing"",""แม่ฮ่องสอน!J444"")"),0)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IFERROR(__xludf.DUMMYFUNCTION("IMPORTRANGE(""https://docs.google.com/spreadsheets/d/11923uPwbBZFjjGgGUA6NLw09EwE0CqkOc4q9oUmW1yo/edit?usp=sharing"",""แม่ฮ่องสอน!J445"")"),0)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IFERROR(__xludf.DUMMYFUNCTION("IMPORTRANGE(""https://docs.google.com/spreadsheets/d/11923uPwbBZFjjGgGUA6NLw09EwE0CqkOc4q9oUmW1yo/edit?usp=sharing"",""แม่ฮ่องสอน!I446"")"),0)</f>
        <v>0</v>
      </c>
      <c r="J551" s="409">
        <f ca="1">IFERROR(__xludf.DUMMYFUNCTION("IMPORTRANGE(""https://docs.google.com/spreadsheets/d/11923uPwbBZFjjGgGUA6NLw09EwE0CqkOc4q9oUmW1yo/edit?usp=sharing"",""แม่ฮ่องสอน!J446"")"),0)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IFERROR(__xludf.DUMMYFUNCTION("IMPORTRANGE(""https://docs.google.com/spreadsheets/d/11923uPwbBZFjjGgGUA6NLw09EwE0CqkOc4q9oUmW1yo/edit?usp=sharing"",""แม่ฮ่องสอน!L446"")"),0)</f>
        <v>0</v>
      </c>
      <c r="M551" s="411"/>
      <c r="N551" s="411">
        <f ca="1">IFERROR(__xludf.DUMMYFUNCTION("IMPORTRANGE(""https://docs.google.com/spreadsheets/d/11923uPwbBZFjjGgGUA6NLw09EwE0CqkOc4q9oUmW1yo/edit?usp=sharing"",""แม่ฮ่องสอน!M446"")"),0)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IFERROR(__xludf.DUMMYFUNCTION("IMPORTRANGE(""https://docs.google.com/spreadsheets/d/11923uPwbBZFjjGgGUA6NLw09EwE0CqkOc4q9oUmW1yo/edit?usp=sharing"",""แม่ฮ่องสอน!L447"")"),0)</f>
        <v>0</v>
      </c>
      <c r="M552" s="164"/>
      <c r="N552" s="168">
        <f ca="1">IFERROR(__xludf.DUMMYFUNCTION("IMPORTRANGE(""https://docs.google.com/spreadsheets/d/11923uPwbBZFjjGgGUA6NLw09EwE0CqkOc4q9oUmW1yo/edit?usp=sharing"",""แม่ฮ่องสอน!M447"")"),0)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IFERROR(__xludf.DUMMYFUNCTION("IMPORTRANGE(""https://docs.google.com/spreadsheets/d/11923uPwbBZFjjGgGUA6NLw09EwE0CqkOc4q9oUmW1yo/edit?usp=sharing"",""แม่ฮ่องสอน!L448"")"),0)</f>
        <v>0</v>
      </c>
      <c r="M553" s="165"/>
      <c r="N553" s="168">
        <f ca="1">IFERROR(__xludf.DUMMYFUNCTION("IMPORTRANGE(""https://docs.google.com/spreadsheets/d/11923uPwbBZFjjGgGUA6NLw09EwE0CqkOc4q9oUmW1yo/edit?usp=sharing"",""แม่ฮ่องสอน!M448"")"),0)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IFERROR(__xludf.DUMMYFUNCTION("IMPORTRANGE(""https://docs.google.com/spreadsheets/d/11923uPwbBZFjjGgGUA6NLw09EwE0CqkOc4q9oUmW1yo/edit?usp=sharing"",""แม่ฮ่องสอน!L449"")"),0)</f>
        <v>0</v>
      </c>
      <c r="M554" s="168"/>
      <c r="N554" s="168">
        <f ca="1">IFERROR(__xludf.DUMMYFUNCTION("IMPORTRANGE(""https://docs.google.com/spreadsheets/d/11923uPwbBZFjjGgGUA6NLw09EwE0CqkOc4q9oUmW1yo/edit?usp=sharing"",""แม่ฮ่องสอน!M449"")"),0)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IFERROR(__xludf.DUMMYFUNCTION("IMPORTRANGE(""https://docs.google.com/spreadsheets/d/11923uPwbBZFjjGgGUA6NLw09EwE0CqkOc4q9oUmW1yo/edit?usp=sharing"",""แม่ฮ่องสอน!L450"")"),0)</f>
        <v>0</v>
      </c>
      <c r="M555" s="168"/>
      <c r="N555" s="168">
        <f ca="1">IFERROR(__xludf.DUMMYFUNCTION("IMPORTRANGE(""https://docs.google.com/spreadsheets/d/11923uPwbBZFjjGgGUA6NLw09EwE0CqkOc4q9oUmW1yo/edit?usp=sharing"",""แม่ฮ่องสอน!M450"")"),0)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IFERROR(__xludf.DUMMYFUNCTION("IMPORTRANGE(""https://docs.google.com/spreadsheets/d/11923uPwbBZFjjGgGUA6NLw09EwE0CqkOc4q9oUmW1yo/edit?usp=sharing"",""แม่ฮ่องสอน!M451"")"),0)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IFERROR(__xludf.DUMMYFUNCTION("IMPORTRANGE(""https://docs.google.com/spreadsheets/d/11923uPwbBZFjjGgGUA6NLw09EwE0CqkOc4q9oUmW1yo/edit?usp=sharing"",""แม่ฮ่องสอน!M452"")"),0)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IFERROR(__xludf.DUMMYFUNCTION("IMPORTRANGE(""https://docs.google.com/spreadsheets/d/11923uPwbBZFjjGgGUA6NLw09EwE0CqkOc4q9oUmW1yo/edit?usp=sharing"",""แม่ฮ่องสอน!M453"")"),0)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IFERROR(__xludf.DUMMYFUNCTION("IMPORTRANGE(""https://docs.google.com/spreadsheets/d/11923uPwbBZFjjGgGUA6NLw09EwE0CqkOc4q9oUmW1yo/edit?usp=sharing"",""แม่ฮ่องสอน!M454"")"),0)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IFERROR(__xludf.DUMMYFUNCTION("IMPORTRANGE(""https://docs.google.com/spreadsheets/d/11923uPwbBZFjjGgGUA6NLw09EwE0CqkOc4q9oUmW1yo/edit?usp=sharing"",""แม่ฮ่องสอน!I455"")"),0)</f>
        <v>0</v>
      </c>
      <c r="J560" s="162">
        <f ca="1">IFERROR(__xludf.DUMMYFUNCTION("IMPORTRANGE(""https://docs.google.com/spreadsheets/d/11923uPwbBZFjjGgGUA6NLw09EwE0CqkOc4q9oUmW1yo/edit?usp=sharing"",""แม่ฮ่องสอน!J455"")"),0)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IFERROR(__xludf.DUMMYFUNCTION("IMPORTRANGE(""https://docs.google.com/spreadsheets/d/11923uPwbBZFjjGgGUA6NLw09EwE0CqkOc4q9oUmW1yo/edit?usp=sharing"",""แม่ฮ่องสอน!I456"")"),0)</f>
        <v>0</v>
      </c>
      <c r="J561" s="203">
        <f ca="1">IFERROR(__xludf.DUMMYFUNCTION("IMPORTRANGE(""https://docs.google.com/spreadsheets/d/11923uPwbBZFjjGgGUA6NLw09EwE0CqkOc4q9oUmW1yo/edit?usp=sharing"",""แม่ฮ่องสอน!J456"")"),0)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IFERROR(__xludf.DUMMYFUNCTION("IMPORTRANGE(""https://docs.google.com/spreadsheets/d/11923uPwbBZFjjGgGUA6NLw09EwE0CqkOc4q9oUmW1yo/edit?usp=sharing"",""แม่ฮ่องสอน!I459"")"),250)</f>
        <v>250</v>
      </c>
      <c r="J564" s="370">
        <f ca="1">IFERROR(__xludf.DUMMYFUNCTION("IMPORTRANGE(""https://docs.google.com/spreadsheets/d/11923uPwbBZFjjGgGUA6NLw09EwE0CqkOc4q9oUmW1yo/edit?usp=sharing"",""แม่ฮ่องสอน!J459"")"),349)</f>
        <v>349</v>
      </c>
      <c r="K564" s="371">
        <f ca="1">IF(I564&gt;0,J564*100/I564,0)</f>
        <v>139.6</v>
      </c>
      <c r="L564" s="372">
        <f ca="1">IFERROR(__xludf.DUMMYFUNCTION("IMPORTRANGE(""https://docs.google.com/spreadsheets/d/11923uPwbBZFjjGgGUA6NLw09EwE0CqkOc4q9oUmW1yo/edit?usp=sharing"",""แม่ฮ่องสอน!L459"")"),130080)</f>
        <v>130080</v>
      </c>
      <c r="M564" s="372"/>
      <c r="N564" s="372">
        <f ca="1">IFERROR(__xludf.DUMMYFUNCTION("IMPORTRANGE(""https://docs.google.com/spreadsheets/d/11923uPwbBZFjjGgGUA6NLw09EwE0CqkOc4q9oUmW1yo/edit?usp=sharing"",""แม่ฮ่องสอน!M459"")"),88187)</f>
        <v>88187</v>
      </c>
      <c r="O564" s="372">
        <f t="shared" ref="O564:O568" ca="1" si="122">+IF(L564&gt;0,N564*100/L564,0)</f>
        <v>67.794434194341946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IFERROR(__xludf.DUMMYFUNCTION("IMPORTRANGE(""https://docs.google.com/spreadsheets/d/11923uPwbBZFjjGgGUA6NLw09EwE0CqkOc4q9oUmW1yo/edit?usp=sharing"",""แม่ฮ่องสอน!L460"")"),0)</f>
        <v>0</v>
      </c>
      <c r="M565" s="164"/>
      <c r="N565" s="168">
        <f ca="1">IFERROR(__xludf.DUMMYFUNCTION("IMPORTRANGE(""https://docs.google.com/spreadsheets/d/11923uPwbBZFjjGgGUA6NLw09EwE0CqkOc4q9oUmW1yo/edit?usp=sharing"",""แม่ฮ่องสอน!M460"")"),0)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5"/>
      <c r="N566" s="168">
        <f ca="1">IFERROR(__xludf.DUMMYFUNCTION("IMPORTRANGE(""https://docs.google.com/spreadsheets/d/11923uPwbBZFjjGgGUA6NLw09EwE0CqkOc4q9oUmW1yo/edit?usp=sharing"",""แม่ฮ่องสอน!M461"")"),88187)</f>
        <v>88187</v>
      </c>
      <c r="O566" s="168">
        <f t="shared" ca="1" si="122"/>
        <v>67.794434194341946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IFERROR(__xludf.DUMMYFUNCTION("IMPORTRANGE(""https://docs.google.com/spreadsheets/d/11923uPwbBZFjjGgGUA6NLw09EwE0CqkOc4q9oUmW1yo/edit?usp=sharing"",""แม่ฮ่องสอน!L462"")"),0)</f>
        <v>0</v>
      </c>
      <c r="M567" s="168"/>
      <c r="N567" s="168">
        <f ca="1">IFERROR(__xludf.DUMMYFUNCTION("IMPORTRANGE(""https://docs.google.com/spreadsheets/d/11923uPwbBZFjjGgGUA6NLw09EwE0CqkOc4q9oUmW1yo/edit?usp=sharing"",""แม่ฮ่องสอน!M462"")"),0)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68"/>
      <c r="N568" s="168">
        <f ca="1">IFERROR(__xludf.DUMMYFUNCTION("IMPORTRANGE(""https://docs.google.com/spreadsheets/d/11923uPwbBZFjjGgGUA6NLw09EwE0CqkOc4q9oUmW1yo/edit?usp=sharing"",""แม่ฮ่องสอน!M463"")"),88187)</f>
        <v>88187</v>
      </c>
      <c r="O568" s="168">
        <f t="shared" ca="1" si="122"/>
        <v>67.794434194341946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IFERROR(__xludf.DUMMYFUNCTION("IMPORTRANGE(""https://docs.google.com/spreadsheets/d/11923uPwbBZFjjGgGUA6NLw09EwE0CqkOc4q9oUmW1yo/edit?usp=sharing"",""แม่ฮ่องสอน!M464"")"),0)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IFERROR(__xludf.DUMMYFUNCTION("IMPORTRANGE(""https://docs.google.com/spreadsheets/d/11923uPwbBZFjjGgGUA6NLw09EwE0CqkOc4q9oUmW1yo/edit?usp=sharing"",""แม่ฮ่องสอน!M465"")"),0)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IFERROR(__xludf.DUMMYFUNCTION("IMPORTRANGE(""https://docs.google.com/spreadsheets/d/11923uPwbBZFjjGgGUA6NLw09EwE0CqkOc4q9oUmW1yo/edit?usp=sharing"",""แม่ฮ่องสอน!M466"")"),65607)</f>
        <v>65607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IFERROR(__xludf.DUMMYFUNCTION("IMPORTRANGE(""https://docs.google.com/spreadsheets/d/11923uPwbBZFjjGgGUA6NLw09EwE0CqkOc4q9oUmW1yo/edit?usp=sharing"",""แม่ฮ่องสอน!M467"")"),22580)</f>
        <v>22580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IFERROR(__xludf.DUMMYFUNCTION("IMPORTRANGE(""https://docs.google.com/spreadsheets/d/11923uPwbBZFjjGgGUA6NLw09EwE0CqkOc4q9oUmW1yo/edit?usp=sharing"",""แม่ฮ่องสอน!I468"")"),250)</f>
        <v>250</v>
      </c>
      <c r="J573" s="420">
        <f ca="1">IFERROR(__xludf.DUMMYFUNCTION("IMPORTRANGE(""https://docs.google.com/spreadsheets/d/11923uPwbBZFjjGgGUA6NLw09EwE0CqkOc4q9oUmW1yo/edit?usp=sharing"",""แม่ฮ่องสอน!J468"")"),349)</f>
        <v>349</v>
      </c>
      <c r="K573" s="201">
        <f ca="1">IF(I573&gt;0,J573*100/I573,0)</f>
        <v>139.6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IFERROR(__xludf.DUMMYFUNCTION("IMPORTRANGE(""https://docs.google.com/spreadsheets/d/11923uPwbBZFjjGgGUA6NLw09EwE0CqkOc4q9oUmW1yo/edit?usp=sharing"",""แม่ฮ่องสอน!I470"")"),0)</f>
        <v>0</v>
      </c>
      <c r="J575" s="197">
        <f ca="1">IFERROR(__xludf.DUMMYFUNCTION("IMPORTRANGE(""https://docs.google.com/spreadsheets/d/11923uPwbBZFjjGgGUA6NLw09EwE0CqkOc4q9oUmW1yo/edit?usp=sharing"",""แม่ฮ่องสอน!J470"")"),9)</f>
        <v>9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IFERROR(__xludf.DUMMYFUNCTION("IMPORTRANGE(""https://docs.google.com/spreadsheets/d/11923uPwbBZFjjGgGUA6NLw09EwE0CqkOc4q9oUmW1yo/edit?usp=sharing"",""แม่ฮ่องสอน!I471"")"),0)</f>
        <v>0</v>
      </c>
      <c r="J576" s="197">
        <f ca="1">IFERROR(__xludf.DUMMYFUNCTION("IMPORTRANGE(""https://docs.google.com/spreadsheets/d/11923uPwbBZFjjGgGUA6NLw09EwE0CqkOc4q9oUmW1yo/edit?usp=sharing"",""แม่ฮ่องสอน!J471"")"),215)</f>
        <v>215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IFERROR(__xludf.DUMMYFUNCTION("IMPORTRANGE(""https://docs.google.com/spreadsheets/d/11923uPwbBZFjjGgGUA6NLw09EwE0CqkOc4q9oUmW1yo/edit?usp=sharing"",""แม่ฮ่องสอน!I472"")"),0)</f>
        <v>0</v>
      </c>
      <c r="J577" s="188">
        <f ca="1">IFERROR(__xludf.DUMMYFUNCTION("IMPORTRANGE(""https://docs.google.com/spreadsheets/d/11923uPwbBZFjjGgGUA6NLw09EwE0CqkOc4q9oUmW1yo/edit?usp=sharing"",""แม่ฮ่องสอน!J472"")"),134)</f>
        <v>134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IFERROR(__xludf.DUMMYFUNCTION("IMPORTRANGE(""https://docs.google.com/spreadsheets/d/11923uPwbBZFjjGgGUA6NLw09EwE0CqkOc4q9oUmW1yo/edit?usp=sharing"",""แม่ฮ่องสอน!I473"")"),0)</f>
        <v>0</v>
      </c>
      <c r="J578" s="197">
        <f ca="1">IFERROR(__xludf.DUMMYFUNCTION("IMPORTRANGE(""https://docs.google.com/spreadsheets/d/11923uPwbBZFjjGgGUA6NLw09EwE0CqkOc4q9oUmW1yo/edit?usp=sharing"",""แม่ฮ่องสอน!J473"")"),0)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IFERROR(__xludf.DUMMYFUNCTION("IMPORTRANGE(""https://docs.google.com/spreadsheets/d/11923uPwbBZFjjGgGUA6NLw09EwE0CqkOc4q9oUmW1yo/edit?usp=sharing"",""แม่ฮ่องสอน!I474"")"),0)</f>
        <v>0</v>
      </c>
      <c r="J579" s="197">
        <f ca="1">IFERROR(__xludf.DUMMYFUNCTION("IMPORTRANGE(""https://docs.google.com/spreadsheets/d/11923uPwbBZFjjGgGUA6NLw09EwE0CqkOc4q9oUmW1yo/edit?usp=sharing"",""แม่ฮ่องสอน!J474"")"),0)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IFERROR(__xludf.DUMMYFUNCTION("IMPORTRANGE(""https://docs.google.com/spreadsheets/d/11923uPwbBZFjjGgGUA6NLw09EwE0CqkOc4q9oUmW1yo/edit?usp=sharing"",""แม่ฮ่องสอน!I475"")"),34)</f>
        <v>34</v>
      </c>
      <c r="J580" s="370">
        <f ca="1">IFERROR(__xludf.DUMMYFUNCTION("IMPORTRANGE(""https://docs.google.com/spreadsheets/d/11923uPwbBZFjjGgGUA6NLw09EwE0CqkOc4q9oUmW1yo/edit?usp=sharing"",""แม่ฮ่องสอน!J475"")"),0)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IFERROR(__xludf.DUMMYFUNCTION("IMPORTRANGE(""https://docs.google.com/spreadsheets/d/11923uPwbBZFjjGgGUA6NLw09EwE0CqkOc4q9oUmW1yo/edit?usp=sharing"",""แม่ฮ่องสอน!L475"")"),156934)</f>
        <v>156934</v>
      </c>
      <c r="M580" s="372"/>
      <c r="N580" s="372">
        <f ca="1">IFERROR(__xludf.DUMMYFUNCTION("IMPORTRANGE(""https://docs.google.com/spreadsheets/d/11923uPwbBZFjjGgGUA6NLw09EwE0CqkOc4q9oUmW1yo/edit?usp=sharing"",""แม่ฮ่องสอน!M475"")"),44620)</f>
        <v>44620</v>
      </c>
      <c r="O580" s="372">
        <f t="shared" ref="O580:O584" ca="1" si="124">+IF(L580&gt;0,N580*100/L580,0)</f>
        <v>28.432334612002499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IFERROR(__xludf.DUMMYFUNCTION("IMPORTRANGE(""https://docs.google.com/spreadsheets/d/11923uPwbBZFjjGgGUA6NLw09EwE0CqkOc4q9oUmW1yo/edit?usp=sharing"",""แม่ฮ่องสอน!L476"")"),0)</f>
        <v>0</v>
      </c>
      <c r="M581" s="164"/>
      <c r="N581" s="168">
        <f ca="1">IFERROR(__xludf.DUMMYFUNCTION("IMPORTRANGE(""https://docs.google.com/spreadsheets/d/11923uPwbBZFjjGgGUA6NLw09EwE0CqkOc4q9oUmW1yo/edit?usp=sharing"",""แม่ฮ่องสอน!M476"")"),0)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IFERROR(__xludf.DUMMYFUNCTION("IMPORTRANGE(""https://docs.google.com/spreadsheets/d/11923uPwbBZFjjGgGUA6NLw09EwE0CqkOc4q9oUmW1yo/edit?usp=sharing"",""แม่ฮ่องสอน!L477"")"),156934)</f>
        <v>156934</v>
      </c>
      <c r="M582" s="165"/>
      <c r="N582" s="168">
        <f ca="1">IFERROR(__xludf.DUMMYFUNCTION("IMPORTRANGE(""https://docs.google.com/spreadsheets/d/11923uPwbBZFjjGgGUA6NLw09EwE0CqkOc4q9oUmW1yo/edit?usp=sharing"",""แม่ฮ่องสอน!M477"")"),44620)</f>
        <v>44620</v>
      </c>
      <c r="O582" s="168">
        <f t="shared" ca="1" si="124"/>
        <v>28.432334612002499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IFERROR(__xludf.DUMMYFUNCTION("IMPORTRANGE(""https://docs.google.com/spreadsheets/d/11923uPwbBZFjjGgGUA6NLw09EwE0CqkOc4q9oUmW1yo/edit?usp=sharing"",""แม่ฮ่องสอน!L478"")"),0)</f>
        <v>0</v>
      </c>
      <c r="M583" s="168"/>
      <c r="N583" s="168">
        <f ca="1">IFERROR(__xludf.DUMMYFUNCTION("IMPORTRANGE(""https://docs.google.com/spreadsheets/d/11923uPwbBZFjjGgGUA6NLw09EwE0CqkOc4q9oUmW1yo/edit?usp=sharing"",""แม่ฮ่องสอน!M478"")"),0)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IFERROR(__xludf.DUMMYFUNCTION("IMPORTRANGE(""https://docs.google.com/spreadsheets/d/11923uPwbBZFjjGgGUA6NLw09EwE0CqkOc4q9oUmW1yo/edit?usp=sharing"",""แม่ฮ่องสอน!L479"")"),156934)</f>
        <v>156934</v>
      </c>
      <c r="M584" s="168"/>
      <c r="N584" s="168">
        <f ca="1">IFERROR(__xludf.DUMMYFUNCTION("IMPORTRANGE(""https://docs.google.com/spreadsheets/d/11923uPwbBZFjjGgGUA6NLw09EwE0CqkOc4q9oUmW1yo/edit?usp=sharing"",""แม่ฮ่องสอน!M479"")"),44620)</f>
        <v>44620</v>
      </c>
      <c r="O584" s="168">
        <f t="shared" ca="1" si="124"/>
        <v>28.432334612002499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IFERROR(__xludf.DUMMYFUNCTION("IMPORTRANGE(""https://docs.google.com/spreadsheets/d/11923uPwbBZFjjGgGUA6NLw09EwE0CqkOc4q9oUmW1yo/edit?usp=sharing"",""แม่ฮ่องสอน!M480"")"),0)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IFERROR(__xludf.DUMMYFUNCTION("IMPORTRANGE(""https://docs.google.com/spreadsheets/d/11923uPwbBZFjjGgGUA6NLw09EwE0CqkOc4q9oUmW1yo/edit?usp=sharing"",""แม่ฮ่องสอน!M481"")"),0)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IFERROR(__xludf.DUMMYFUNCTION("IMPORTRANGE(""https://docs.google.com/spreadsheets/d/11923uPwbBZFjjGgGUA6NLw09EwE0CqkOc4q9oUmW1yo/edit?usp=sharing"",""แม่ฮ่องสอน!M482"")"),0)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IFERROR(__xludf.DUMMYFUNCTION("IMPORTRANGE(""https://docs.google.com/spreadsheets/d/11923uPwbBZFjjGgGUA6NLw09EwE0CqkOc4q9oUmW1yo/edit?usp=sharing"",""แม่ฮ่องสอน!M483"")"),44620)</f>
        <v>44620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IFERROR(__xludf.DUMMYFUNCTION("IMPORTRANGE(""https://docs.google.com/spreadsheets/d/11923uPwbBZFjjGgGUA6NLw09EwE0CqkOc4q9oUmW1yo/edit?usp=sharing"",""แม่ฮ่องสอน!I484"")"),34)</f>
        <v>34</v>
      </c>
      <c r="J589" s="187">
        <f ca="1">IFERROR(__xludf.DUMMYFUNCTION("IMPORTRANGE(""https://docs.google.com/spreadsheets/d/11923uPwbBZFjjGgGUA6NLw09EwE0CqkOc4q9oUmW1yo/edit?usp=sharing"",""แม่ฮ่องสอน!J484"")"),0)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IFERROR(__xludf.DUMMYFUNCTION("IMPORTRANGE(""https://docs.google.com/spreadsheets/d/11923uPwbBZFjjGgGUA6NLw09EwE0CqkOc4q9oUmW1yo/edit?usp=sharing"",""แม่ฮ่องสอน!I485"")"),0)</f>
        <v>0</v>
      </c>
      <c r="J590" s="187">
        <f ca="1">IFERROR(__xludf.DUMMYFUNCTION("IMPORTRANGE(""https://docs.google.com/spreadsheets/d/11923uPwbBZFjjGgGUA6NLw09EwE0CqkOc4q9oUmW1yo/edit?usp=sharing"",""แม่ฮ่องสอน!J485"")"),0)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IFERROR(__xludf.DUMMYFUNCTION("IMPORTRANGE(""https://docs.google.com/spreadsheets/d/11923uPwbBZFjjGgGUA6NLw09EwE0CqkOc4q9oUmW1yo/edit?usp=sharing"",""แม่ฮ่องสอน!I486"")"),34)</f>
        <v>34</v>
      </c>
      <c r="J591" s="187">
        <f ca="1">IFERROR(__xludf.DUMMYFUNCTION("IMPORTRANGE(""https://docs.google.com/spreadsheets/d/11923uPwbBZFjjGgGUA6NLw09EwE0CqkOc4q9oUmW1yo/edit?usp=sharing"",""แม่ฮ่องสอน!J486"")"),0)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IFERROR(__xludf.DUMMYFUNCTION("IMPORTRANGE(""https://docs.google.com/spreadsheets/d/11923uPwbBZFjjGgGUA6NLw09EwE0CqkOc4q9oUmW1yo/edit?usp=sharing"",""แม่ฮ่องสอน!I487"")"),0)</f>
        <v>0</v>
      </c>
      <c r="J592" s="187">
        <f ca="1">IFERROR(__xludf.DUMMYFUNCTION("IMPORTRANGE(""https://docs.google.com/spreadsheets/d/11923uPwbBZFjjGgGUA6NLw09EwE0CqkOc4q9oUmW1yo/edit?usp=sharing"",""แม่ฮ่องสอน!J487"")"),0)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IFERROR(__xludf.DUMMYFUNCTION("IMPORTRANGE(""https://docs.google.com/spreadsheets/d/11923uPwbBZFjjGgGUA6NLw09EwE0CqkOc4q9oUmW1yo/edit?usp=sharing"",""แม่ฮ่องสอน!I488"")"),34)</f>
        <v>34</v>
      </c>
      <c r="J593" s="187">
        <f ca="1">IFERROR(__xludf.DUMMYFUNCTION("IMPORTRANGE(""https://docs.google.com/spreadsheets/d/11923uPwbBZFjjGgGUA6NLw09EwE0CqkOc4q9oUmW1yo/edit?usp=sharing"",""แม่ฮ่องสอน!J488"")"),0)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IFERROR(__xludf.DUMMYFUNCTION("IMPORTRANGE(""https://docs.google.com/spreadsheets/d/11923uPwbBZFjjGgGUA6NLw09EwE0CqkOc4q9oUmW1yo/edit?usp=sharing"",""แม่ฮ่องสอน!I489"")"),0)</f>
        <v>0</v>
      </c>
      <c r="J594" s="187">
        <f ca="1">IFERROR(__xludf.DUMMYFUNCTION("IMPORTRANGE(""https://docs.google.com/spreadsheets/d/11923uPwbBZFjjGgGUA6NLw09EwE0CqkOc4q9oUmW1yo/edit?usp=sharing"",""แม่ฮ่องสอน!J489"")"),0)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IFERROR(__xludf.DUMMYFUNCTION("IMPORTRANGE(""https://docs.google.com/spreadsheets/d/11923uPwbBZFjjGgGUA6NLw09EwE0CqkOc4q9oUmW1yo/edit?usp=sharing"",""แม่ฮ่องสอน!I490"")"),34)</f>
        <v>34</v>
      </c>
      <c r="J595" s="187">
        <f ca="1">IFERROR(__xludf.DUMMYFUNCTION("IMPORTRANGE(""https://docs.google.com/spreadsheets/d/11923uPwbBZFjjGgGUA6NLw09EwE0CqkOc4q9oUmW1yo/edit?usp=sharing"",""แม่ฮ่องสอน!J490"")"),0)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IFERROR(__xludf.DUMMYFUNCTION("IMPORTRANGE(""https://docs.google.com/spreadsheets/d/11923uPwbBZFjjGgGUA6NLw09EwE0CqkOc4q9oUmW1yo/edit?usp=sharing"",""แม่ฮ่องสอน!I491"")"),0)</f>
        <v>0</v>
      </c>
      <c r="J596" s="241">
        <f ca="1">IFERROR(__xludf.DUMMYFUNCTION("IMPORTRANGE(""https://docs.google.com/spreadsheets/d/11923uPwbBZFjjGgGUA6NLw09EwE0CqkOc4q9oUmW1yo/edit?usp=sharing"",""แม่ฮ่องสอน!J491"")"),0)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IFERROR(__xludf.DUMMYFUNCTION("IMPORTRANGE(""https://docs.google.com/spreadsheets/d/11923uPwbBZFjjGgGUA6NLw09EwE0CqkOc4q9oUmW1yo/edit?usp=sharing"",""แม่ฮ่องสอน!I492"")"),50)</f>
        <v>50</v>
      </c>
      <c r="J597" s="488">
        <f ca="1">IFERROR(__xludf.DUMMYFUNCTION("IMPORTRANGE(""https://docs.google.com/spreadsheets/d/11923uPwbBZFjjGgGUA6NLw09EwE0CqkOc4q9oUmW1yo/edit?usp=sharing"",""แม่ฮ่องสอน!J492"")"),0)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IFERROR(__xludf.DUMMYFUNCTION("IMPORTRANGE(""https://docs.google.com/spreadsheets/d/11923uPwbBZFjjGgGUA6NLw09EwE0CqkOc4q9oUmW1yo/edit?usp=sharing"",""แม่ฮ่องสอน!L492"")"),6950)</f>
        <v>6950</v>
      </c>
      <c r="M597" s="411"/>
      <c r="N597" s="411">
        <f ca="1">IFERROR(__xludf.DUMMYFUNCTION("IMPORTRANGE(""https://docs.google.com/spreadsheets/d/11923uPwbBZFjjGgGUA6NLw09EwE0CqkOc4q9oUmW1yo/edit?usp=sharing"",""แม่ฮ่องสอน!M492"")"),4200)</f>
        <v>4200</v>
      </c>
      <c r="O597" s="411">
        <f t="shared" ref="O597:O601" ca="1" si="126">+IF(L597&gt;0,N597*100/L597,0)</f>
        <v>60.431654676258994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IFERROR(__xludf.DUMMYFUNCTION("IMPORTRANGE(""https://docs.google.com/spreadsheets/d/11923uPwbBZFjjGgGUA6NLw09EwE0CqkOc4q9oUmW1yo/edit?usp=sharing"",""แม่ฮ่องสอน!L493"")"),0)</f>
        <v>0</v>
      </c>
      <c r="M598" s="164"/>
      <c r="N598" s="168">
        <f ca="1">IFERROR(__xludf.DUMMYFUNCTION("IMPORTRANGE(""https://docs.google.com/spreadsheets/d/11923uPwbBZFjjGgGUA6NLw09EwE0CqkOc4q9oUmW1yo/edit?usp=sharing"",""แม่ฮ่องสอน!M493"")"),0)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IFERROR(__xludf.DUMMYFUNCTION("IMPORTRANGE(""https://docs.google.com/spreadsheets/d/11923uPwbBZFjjGgGUA6NLw09EwE0CqkOc4q9oUmW1yo/edit?usp=sharing"",""แม่ฮ่องสอน!L494"")"),6950)</f>
        <v>6950</v>
      </c>
      <c r="M599" s="165"/>
      <c r="N599" s="168">
        <f ca="1">IFERROR(__xludf.DUMMYFUNCTION("IMPORTRANGE(""https://docs.google.com/spreadsheets/d/11923uPwbBZFjjGgGUA6NLw09EwE0CqkOc4q9oUmW1yo/edit?usp=sharing"",""แม่ฮ่องสอน!M494"")"),4200)</f>
        <v>4200</v>
      </c>
      <c r="O599" s="168">
        <f t="shared" ca="1" si="126"/>
        <v>60.431654676258994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IFERROR(__xludf.DUMMYFUNCTION("IMPORTRANGE(""https://docs.google.com/spreadsheets/d/11923uPwbBZFjjGgGUA6NLw09EwE0CqkOc4q9oUmW1yo/edit?usp=sharing"",""แม่ฮ่องสอน!L495"")"),0)</f>
        <v>0</v>
      </c>
      <c r="M600" s="168"/>
      <c r="N600" s="168">
        <f ca="1">IFERROR(__xludf.DUMMYFUNCTION("IMPORTRANGE(""https://docs.google.com/spreadsheets/d/11923uPwbBZFjjGgGUA6NLw09EwE0CqkOc4q9oUmW1yo/edit?usp=sharing"",""แม่ฮ่องสอน!M495"")"),0)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IFERROR(__xludf.DUMMYFUNCTION("IMPORTRANGE(""https://docs.google.com/spreadsheets/d/11923uPwbBZFjjGgGUA6NLw09EwE0CqkOc4q9oUmW1yo/edit?usp=sharing"",""แม่ฮ่องสอน!L496"")"),6950)</f>
        <v>6950</v>
      </c>
      <c r="M601" s="168"/>
      <c r="N601" s="168">
        <f ca="1">IFERROR(__xludf.DUMMYFUNCTION("IMPORTRANGE(""https://docs.google.com/spreadsheets/d/11923uPwbBZFjjGgGUA6NLw09EwE0CqkOc4q9oUmW1yo/edit?usp=sharing"",""แม่ฮ่องสอน!M496"")"),4200)</f>
        <v>4200</v>
      </c>
      <c r="O601" s="168">
        <f t="shared" ca="1" si="126"/>
        <v>60.431654676258994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IFERROR(__xludf.DUMMYFUNCTION("IMPORTRANGE(""https://docs.google.com/spreadsheets/d/11923uPwbBZFjjGgGUA6NLw09EwE0CqkOc4q9oUmW1yo/edit?usp=sharing"",""แม่ฮ่องสอน!M497"")"),0)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IFERROR(__xludf.DUMMYFUNCTION("IMPORTRANGE(""https://docs.google.com/spreadsheets/d/11923uPwbBZFjjGgGUA6NLw09EwE0CqkOc4q9oUmW1yo/edit?usp=sharing"",""แม่ฮ่องสอน!M498"")"),0)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IFERROR(__xludf.DUMMYFUNCTION("IMPORTRANGE(""https://docs.google.com/spreadsheets/d/11923uPwbBZFjjGgGUA6NLw09EwE0CqkOc4q9oUmW1yo/edit?usp=sharing"",""แม่ฮ่องสอน!M499"")"),0)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IFERROR(__xludf.DUMMYFUNCTION("IMPORTRANGE(""https://docs.google.com/spreadsheets/d/11923uPwbBZFjjGgGUA6NLw09EwE0CqkOc4q9oUmW1yo/edit?usp=sharing"",""แม่ฮ่องสอน!M500"")"),4200)</f>
        <v>4200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IFERROR(__xludf.DUMMYFUNCTION("IMPORTRANGE(""https://docs.google.com/spreadsheets/d/11923uPwbBZFjjGgGUA6NLw09EwE0CqkOc4q9oUmW1yo/edit?usp=sharing"",""แม่ฮ่องสอน!J502"")"),0)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IFERROR(__xludf.DUMMYFUNCTION("IMPORTRANGE(""https://docs.google.com/spreadsheets/d/11923uPwbBZFjjGgGUA6NLw09EwE0CqkOc4q9oUmW1yo/edit?usp=sharing"",""แม่ฮ่องสอน!J503"")"),1)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IFERROR(__xludf.DUMMYFUNCTION("IMPORTRANGE(""https://docs.google.com/spreadsheets/d/11923uPwbBZFjjGgGUA6NLw09EwE0CqkOc4q9oUmW1yo/edit?usp=sharing"",""แม่ฮ่องสอน!J166"")"),0)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IFERROR(__xludf.DUMMYFUNCTION("IMPORTRANGE(""https://docs.google.com/spreadsheets/d/11923uPwbBZFjjGgGUA6NLw09EwE0CqkOc4q9oUmW1yo/edit?usp=sharing"",""แม่ฮ่องสอน!J166"")"),0)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IFERROR(__xludf.DUMMYFUNCTION("IMPORTRANGE(""https://docs.google.com/spreadsheets/d/11923uPwbBZFjjGgGUA6NLw09EwE0CqkOc4q9oUmW1yo/edit?usp=sharing"",""แม่ฮ่องสอน!I506"")"),50)</f>
        <v>50</v>
      </c>
      <c r="J611" s="162">
        <f ca="1">IFERROR(__xludf.DUMMYFUNCTION("IMPORTRANGE(""https://docs.google.com/spreadsheets/d/11923uPwbBZFjjGgGUA6NLw09EwE0CqkOc4q9oUmW1yo/edit?usp=sharing"",""แม่ฮ่องสอน!J506"")"),0)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IFERROR(__xludf.DUMMYFUNCTION("IMPORTRANGE(""https://docs.google.com/spreadsheets/d/11923uPwbBZFjjGgGUA6NLw09EwE0CqkOc4q9oUmW1yo/edit?usp=sharing"",""แม่ฮ่องสอน!I507"")"),0)</f>
        <v>0</v>
      </c>
      <c r="J612" s="197">
        <f ca="1">IFERROR(__xludf.DUMMYFUNCTION("IMPORTRANGE(""https://docs.google.com/spreadsheets/d/11923uPwbBZFjjGgGUA6NLw09EwE0CqkOc4q9oUmW1yo/edit?usp=sharing"",""แม่ฮ่องสอน!J507"")"),0)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IFERROR(__xludf.DUMMYFUNCTION("IMPORTRANGE(""https://docs.google.com/spreadsheets/d/11923uPwbBZFjjGgGUA6NLw09EwE0CqkOc4q9oUmW1yo/edit?usp=sharing"",""แม่ฮ่องสอน!I508"")"),0)</f>
        <v>0</v>
      </c>
      <c r="J613" s="197">
        <f ca="1">IFERROR(__xludf.DUMMYFUNCTION("IMPORTRANGE(""https://docs.google.com/spreadsheets/d/11923uPwbBZFjjGgGUA6NLw09EwE0CqkOc4q9oUmW1yo/edit?usp=sharing"",""แม่ฮ่องสอน!J508"")"),0)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IFERROR(__xludf.DUMMYFUNCTION("IMPORTRANGE(""https://docs.google.com/spreadsheets/d/11923uPwbBZFjjGgGUA6NLw09EwE0CqkOc4q9oUmW1yo/edit?usp=sharing"",""แม่ฮ่องสอน!I509"")"),0)</f>
        <v>0</v>
      </c>
      <c r="J614" s="197">
        <f ca="1">IFERROR(__xludf.DUMMYFUNCTION("IMPORTRANGE(""https://docs.google.com/spreadsheets/d/11923uPwbBZFjjGgGUA6NLw09EwE0CqkOc4q9oUmW1yo/edit?usp=sharing"",""แม่ฮ่องสอน!J509"")"),0)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IFERROR(__xludf.DUMMYFUNCTION("IMPORTRANGE(""https://docs.google.com/spreadsheets/d/11923uPwbBZFjjGgGUA6NLw09EwE0CqkOc4q9oUmW1yo/edit?usp=sharing"",""แม่ฮ่องสอน!I510"")"),0)</f>
        <v>0</v>
      </c>
      <c r="J615" s="197">
        <f ca="1">IFERROR(__xludf.DUMMYFUNCTION("IMPORTRANGE(""https://docs.google.com/spreadsheets/d/11923uPwbBZFjjGgGUA6NLw09EwE0CqkOc4q9oUmW1yo/edit?usp=sharing"",""แม่ฮ่องสอน!J510"")"),0)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IFERROR(__xludf.DUMMYFUNCTION("IMPORTRANGE(""https://docs.google.com/spreadsheets/d/11923uPwbBZFjjGgGUA6NLw09EwE0CqkOc4q9oUmW1yo/edit?usp=sharing"",""แม่ฮ่องสอน!I511"")"),0)</f>
        <v>0</v>
      </c>
      <c r="J616" s="197">
        <f ca="1">IFERROR(__xludf.DUMMYFUNCTION("IMPORTRANGE(""https://docs.google.com/spreadsheets/d/11923uPwbBZFjjGgGUA6NLw09EwE0CqkOc4q9oUmW1yo/edit?usp=sharing"",""แม่ฮ่องสอน!J511"")"),0)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IFERROR(__xludf.DUMMYFUNCTION("IMPORTRANGE(""https://docs.google.com/spreadsheets/d/11923uPwbBZFjjGgGUA6NLw09EwE0CqkOc4q9oUmW1yo/edit?usp=sharing"",""แม่ฮ่องสอน!I512"")"),0)</f>
        <v>0</v>
      </c>
      <c r="J617" s="187">
        <f ca="1">IFERROR(__xludf.DUMMYFUNCTION("IMPORTRANGE(""https://docs.google.com/spreadsheets/d/11923uPwbBZFjjGgGUA6NLw09EwE0CqkOc4q9oUmW1yo/edit?usp=sharing"",""แม่ฮ่องสอน!J512"")"),0)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IFERROR(__xludf.DUMMYFUNCTION("IMPORTRANGE(""https://docs.google.com/spreadsheets/d/11923uPwbBZFjjGgGUA6NLw09EwE0CqkOc4q9oUmW1yo/edit?usp=sharing"",""แม่ฮ่องสอน!I513"")"),0)</f>
        <v>0</v>
      </c>
      <c r="J618" s="188">
        <f ca="1">IFERROR(__xludf.DUMMYFUNCTION("IMPORTRANGE(""https://docs.google.com/spreadsheets/d/11923uPwbBZFjjGgGUA6NLw09EwE0CqkOc4q9oUmW1yo/edit?usp=sharing"",""แม่ฮ่องสอน!J513"")"),0)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IFERROR(__xludf.DUMMYFUNCTION("IMPORTRANGE(""https://docs.google.com/spreadsheets/d/11923uPwbBZFjjGgGUA6NLw09EwE0CqkOc4q9oUmW1yo/edit?usp=sharing"",""แม่ฮ่องสอน!I514"")"),0)</f>
        <v>0</v>
      </c>
      <c r="J619" s="188">
        <f ca="1">IFERROR(__xludf.DUMMYFUNCTION("IMPORTRANGE(""https://docs.google.com/spreadsheets/d/11923uPwbBZFjjGgGUA6NLw09EwE0CqkOc4q9oUmW1yo/edit?usp=sharing"",""แม่ฮ่องสอน!J514"")"),0)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IFERROR(__xludf.DUMMYFUNCTION("IMPORTRANGE(""https://docs.google.com/spreadsheets/d/11923uPwbBZFjjGgGUA6NLw09EwE0CqkOc4q9oUmW1yo/edit?usp=sharing"",""แม่ฮ่องสอน!I515"")"),0)</f>
        <v>0</v>
      </c>
      <c r="J620" s="202">
        <f ca="1">IFERROR(__xludf.DUMMYFUNCTION("IMPORTRANGE(""https://docs.google.com/spreadsheets/d/11923uPwbBZFjjGgGUA6NLw09EwE0CqkOc4q9oUmW1yo/edit?usp=sharing"",""แม่ฮ่องสอน!J515"")"),0)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IFERROR(__xludf.DUMMYFUNCTION("IMPORTRANGE(""https://docs.google.com/spreadsheets/d/11923uPwbBZFjjGgGUA6NLw09EwE0CqkOc4q9oUmW1yo/edit?usp=sharing"",""แม่ฮ่องสอน!I516"")"),0)</f>
        <v>0</v>
      </c>
      <c r="J621" s="202">
        <f ca="1">IFERROR(__xludf.DUMMYFUNCTION("IMPORTRANGE(""https://docs.google.com/spreadsheets/d/11923uPwbBZFjjGgGUA6NLw09EwE0CqkOc4q9oUmW1yo/edit?usp=sharing"",""แม่ฮ่องสอน!J516"")"),0)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IFERROR(__xludf.DUMMYFUNCTION("IMPORTRANGE(""https://docs.google.com/spreadsheets/d/11923uPwbBZFjjGgGUA6NLw09EwE0CqkOc4q9oUmW1yo/edit?usp=sharing"",""แม่ฮ่องสอน!I517"")"),0)</f>
        <v>0</v>
      </c>
      <c r="J622" s="188">
        <f ca="1">IFERROR(__xludf.DUMMYFUNCTION("IMPORTRANGE(""https://docs.google.com/spreadsheets/d/11923uPwbBZFjjGgGUA6NLw09EwE0CqkOc4q9oUmW1yo/edit?usp=sharing"",""แม่ฮ่องสอน!J517"")"),0)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IFERROR(__xludf.DUMMYFUNCTION("IMPORTRANGE(""https://docs.google.com/spreadsheets/d/11923uPwbBZFjjGgGUA6NLw09EwE0CqkOc4q9oUmW1yo/edit?usp=sharing"",""แม่ฮ่องสอน!I518"")"),0)</f>
        <v>0</v>
      </c>
      <c r="J623" s="188">
        <f ca="1">IFERROR(__xludf.DUMMYFUNCTION("IMPORTRANGE(""https://docs.google.com/spreadsheets/d/11923uPwbBZFjjGgGUA6NLw09EwE0CqkOc4q9oUmW1yo/edit?usp=sharing"",""แม่ฮ่องสอน!J518"")"),0)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IFERROR(__xludf.DUMMYFUNCTION("IMPORTRANGE(""https://docs.google.com/spreadsheets/d/11923uPwbBZFjjGgGUA6NLw09EwE0CqkOc4q9oUmW1yo/edit?usp=sharing"",""แม่ฮ่องสอน!I519"")"),0)</f>
        <v>0</v>
      </c>
      <c r="J624" s="187">
        <f ca="1">IFERROR(__xludf.DUMMYFUNCTION("IMPORTRANGE(""https://docs.google.com/spreadsheets/d/11923uPwbBZFjjGgGUA6NLw09EwE0CqkOc4q9oUmW1yo/edit?usp=sharing"",""แม่ฮ่องสอน!J519"")"),0)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IFERROR(__xludf.DUMMYFUNCTION("IMPORTRANGE(""https://docs.google.com/spreadsheets/d/11923uPwbBZFjjGgGUA6NLw09EwE0CqkOc4q9oUmW1yo/edit?usp=sharing"",""แม่ฮ่องสอน!I520"")"),0)</f>
        <v>0</v>
      </c>
      <c r="J625" s="188">
        <f ca="1">IFERROR(__xludf.DUMMYFUNCTION("IMPORTRANGE(""https://docs.google.com/spreadsheets/d/11923uPwbBZFjjGgGUA6NLw09EwE0CqkOc4q9oUmW1yo/edit?usp=sharing"",""แม่ฮ่องสอน!J520"")"),0)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IFERROR(__xludf.DUMMYFUNCTION("IMPORTRANGE(""https://docs.google.com/spreadsheets/d/11923uPwbBZFjjGgGUA6NLw09EwE0CqkOc4q9oUmW1yo/edit?usp=sharing"",""แม่ฮ่องสอน!I521"")"),0)</f>
        <v>0</v>
      </c>
      <c r="J626" s="188">
        <f ca="1">IFERROR(__xludf.DUMMYFUNCTION("IMPORTRANGE(""https://docs.google.com/spreadsheets/d/11923uPwbBZFjjGgGUA6NLw09EwE0CqkOc4q9oUmW1yo/edit?usp=sharing"",""แม่ฮ่องสอน!J521"")"),0)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41">
        <f ca="1">IFERROR(__xludf.DUMMYFUNCTION("IMPORTRANGE(""https://docs.google.com/spreadsheets/d/11923uPwbBZFjjGgGUA6NLw09EwE0CqkOc4q9oUmW1yo/edit?usp=sharing"",""แม่ฮ่องสอน!J523"")"),819956.08)</f>
        <v>819956.08</v>
      </c>
      <c r="K628" s="342">
        <f t="shared" ref="K628:K635" ca="1" si="129">IF(I628&gt;0,J628*100/I628,0)</f>
        <v>97.71995804538318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IFERROR(__xludf.DUMMYFUNCTION("IMPORTRANGE(""https://docs.google.com/spreadsheets/d/11923uPwbBZFjjGgGUA6NLw09EwE0CqkOc4q9oUmW1yo/edit?usp=sharing"",""แม่ฮ่องสอน!I524"")"),84)</f>
        <v>84</v>
      </c>
      <c r="J629" s="341">
        <f ca="1">IFERROR(__xludf.DUMMYFUNCTION("IMPORTRANGE(""https://docs.google.com/spreadsheets/d/11923uPwbBZFjjGgGUA6NLw09EwE0CqkOc4q9oUmW1yo/edit?usp=sharing"",""แม่ฮ่องสอน!J524"")"),78)</f>
        <v>78</v>
      </c>
      <c r="K629" s="342">
        <f t="shared" ca="1" si="129"/>
        <v>92.857142857142861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41">
        <f ca="1">IFERROR(__xludf.DUMMYFUNCTION("IMPORTRANGE(""https://docs.google.com/spreadsheets/d/11923uPwbBZFjjGgGUA6NLw09EwE0CqkOc4q9oUmW1yo/edit?usp=sharing"",""แม่ฮ่องสอน!J525"")"),141879.3)</f>
        <v>141879.29999999999</v>
      </c>
      <c r="K630" s="342">
        <f t="shared" ca="1" si="129"/>
        <v>41.564025554912355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IFERROR(__xludf.DUMMYFUNCTION("IMPORTRANGE(""https://docs.google.com/spreadsheets/d/11923uPwbBZFjjGgGUA6NLw09EwE0CqkOc4q9oUmW1yo/edit?usp=sharing"",""แม่ฮ่องสอน!I526"")"),27)</f>
        <v>27</v>
      </c>
      <c r="J631" s="341">
        <f ca="1">IFERROR(__xludf.DUMMYFUNCTION("IMPORTRANGE(""https://docs.google.com/spreadsheets/d/11923uPwbBZFjjGgGUA6NLw09EwE0CqkOc4q9oUmW1yo/edit?usp=sharing"",""แม่ฮ่องสอน!J526"")"),22)</f>
        <v>22</v>
      </c>
      <c r="K631" s="342">
        <f t="shared" ca="1" si="129"/>
        <v>81.481481481481481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IFERROR(__xludf.DUMMYFUNCTION("IMPORTRANGE(""https://docs.google.com/spreadsheets/d/11923uPwbBZFjjGgGUA6NLw09EwE0CqkOc4q9oUmW1yo/edit?usp=sharing"",""แม่ฮ่องสอน!I527"")"),0)</f>
        <v>0</v>
      </c>
      <c r="J632" s="341">
        <f ca="1">IFERROR(__xludf.DUMMYFUNCTION("IMPORTRANGE(""https://docs.google.com/spreadsheets/d/11923uPwbBZFjjGgGUA6NLw09EwE0CqkOc4q9oUmW1yo/edit?usp=sharing"",""แม่ฮ่องสอน!J527"")"),0)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IFERROR(__xludf.DUMMYFUNCTION("IMPORTRANGE(""https://docs.google.com/spreadsheets/d/11923uPwbBZFjjGgGUA6NLw09EwE0CqkOc4q9oUmW1yo/edit?usp=sharing"",""แม่ฮ่องสอน!I528"")"),0)</f>
        <v>0</v>
      </c>
      <c r="J633" s="341">
        <f ca="1">IFERROR(__xludf.DUMMYFUNCTION("IMPORTRANGE(""https://docs.google.com/spreadsheets/d/11923uPwbBZFjjGgGUA6NLw09EwE0CqkOc4q9oUmW1yo/edit?usp=sharing"",""แม่ฮ่องสอน!J528"")"),0)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IFERROR(__xludf.DUMMYFUNCTION("IMPORTRANGE(""https://docs.google.com/spreadsheets/d/11923uPwbBZFjjGgGUA6NLw09EwE0CqkOc4q9oUmW1yo/edit?usp=sharing"",""แม่ฮ่องสอน!I529"")"),900000)</f>
        <v>900000</v>
      </c>
      <c r="J634" s="341">
        <f ca="1">IFERROR(__xludf.DUMMYFUNCTION("IMPORTRANGE(""https://docs.google.com/spreadsheets/d/11923uPwbBZFjjGgGUA6NLw09EwE0CqkOc4q9oUmW1yo/edit?usp=sharing"",""แม่ฮ่องสอน!J529"")"),900000)</f>
        <v>900000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IFERROR(__xludf.DUMMYFUNCTION("IMPORTRANGE(""https://docs.google.com/spreadsheets/d/11923uPwbBZFjjGgGUA6NLw09EwE0CqkOc4q9oUmW1yo/edit?usp=sharing"",""แม่ฮ่องสอน!I530"")"),30)</f>
        <v>30</v>
      </c>
      <c r="J635" s="505">
        <f ca="1">IFERROR(__xludf.DUMMYFUNCTION("IMPORTRANGE(""https://docs.google.com/spreadsheets/d/11923uPwbBZFjjGgGUA6NLw09EwE0CqkOc4q9oUmW1yo/edit?usp=sharing"",""แม่ฮ่องสอน!J530"")"),28)</f>
        <v>28</v>
      </c>
      <c r="K635" s="487">
        <f t="shared" ca="1" si="129"/>
        <v>93.333333333333329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IFERROR(__xludf.DUMMYFUNCTION("IMPORTRANGE(""https://docs.google.com/spreadsheets/d/11923uPwbBZFjjGgGUA6NLw09EwE0CqkOc4q9oUmW1yo/edit?usp=sharing"",""แม่ฮ่องสอน!J541"")"),0)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IFERROR(__xludf.DUMMYFUNCTION("IMPORTRANGE(""https://docs.google.com/spreadsheets/d/11923uPwbBZFjjGgGUA6NLw09EwE0CqkOc4q9oUmW1yo/edit?usp=sharing"",""แม่ฮ่องสอน!J542"")"),0)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IFERROR(__xludf.DUMMYFUNCTION("IMPORTRANGE(""https://docs.google.com/spreadsheets/d/11923uPwbBZFjjGgGUA6NLw09EwE0CqkOc4q9oUmW1yo/edit?usp=sharing"",""แม่ฮ่องสอน!I543"")"),0)</f>
        <v>0</v>
      </c>
      <c r="J648" s="536">
        <f ca="1">IFERROR(__xludf.DUMMYFUNCTION("IMPORTRANGE(""https://docs.google.com/spreadsheets/d/11923uPwbBZFjjGgGUA6NLw09EwE0CqkOc4q9oUmW1yo/edit?usp=sharing"",""แม่ฮ่องสอน!J543"")"),0)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IFERROR(__xludf.DUMMYFUNCTION("IMPORTRANGE(""https://docs.google.com/spreadsheets/d/11923uPwbBZFjjGgGUA6NLw09EwE0CqkOc4q9oUmW1yo/edit?usp=sharing"",""แม่ฮ่องสอน!L543"")"),0)</f>
        <v>0</v>
      </c>
      <c r="M648" s="521"/>
      <c r="N648" s="538">
        <f ca="1">IFERROR(__xludf.DUMMYFUNCTION("IMPORTRANGE(""https://docs.google.com/spreadsheets/d/11923uPwbBZFjjGgGUA6NLw09EwE0CqkOc4q9oUmW1yo/edit?usp=sharing"",""แม่ฮ่องสอน!M543"")"),0)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IFERROR(__xludf.DUMMYFUNCTION("IMPORTRANGE(""https://docs.google.com/spreadsheets/d/11923uPwbBZFjjGgGUA6NLw09EwE0CqkOc4q9oUmW1yo/edit?usp=sharing"",""แม่ฮ่องสอน!I544"")"),0)</f>
        <v>0</v>
      </c>
      <c r="J649" s="536">
        <f ca="1">IFERROR(__xludf.DUMMYFUNCTION("IMPORTRANGE(""https://docs.google.com/spreadsheets/d/11923uPwbBZFjjGgGUA6NLw09EwE0CqkOc4q9oUmW1yo/edit?usp=sharing"",""แม่ฮ่องสอน!J544"")"),0)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IFERROR(__xludf.DUMMYFUNCTION("IMPORTRANGE(""https://docs.google.com/spreadsheets/d/11923uPwbBZFjjGgGUA6NLw09EwE0CqkOc4q9oUmW1yo/edit?usp=sharing"",""แม่ฮ่องสอน!L544"")"),0)</f>
        <v>0</v>
      </c>
      <c r="M649" s="521"/>
      <c r="N649" s="538">
        <f ca="1">IFERROR(__xludf.DUMMYFUNCTION("IMPORTRANGE(""https://docs.google.com/spreadsheets/d/11923uPwbBZFjjGgGUA6NLw09EwE0CqkOc4q9oUmW1yo/edit?usp=sharing"",""แม่ฮ่องสอน!M544"")"),0)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IFERROR(__xludf.DUMMYFUNCTION("IMPORTRANGE(""https://docs.google.com/spreadsheets/d/11923uPwbBZFjjGgGUA6NLw09EwE0CqkOc4q9oUmW1yo/edit?usp=sharing"",""แม่ฮ่องสอน!I545"")"),0)</f>
        <v>0</v>
      </c>
      <c r="J650" s="536">
        <f ca="1">IFERROR(__xludf.DUMMYFUNCTION("IMPORTRANGE(""https://docs.google.com/spreadsheets/d/11923uPwbBZFjjGgGUA6NLw09EwE0CqkOc4q9oUmW1yo/edit?usp=sharing"",""แม่ฮ่องสอน!J545"")"),0)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IFERROR(__xludf.DUMMYFUNCTION("IMPORTRANGE(""https://docs.google.com/spreadsheets/d/11923uPwbBZFjjGgGUA6NLw09EwE0CqkOc4q9oUmW1yo/edit?usp=sharing"",""แม่ฮ่องสอน!L545"")"),0)</f>
        <v>0</v>
      </c>
      <c r="M650" s="521"/>
      <c r="N650" s="538">
        <f ca="1">IFERROR(__xludf.DUMMYFUNCTION("IMPORTRANGE(""https://docs.google.com/spreadsheets/d/11923uPwbBZFjjGgGUA6NLw09EwE0CqkOc4q9oUmW1yo/edit?usp=sharing"",""แม่ฮ่องสอน!M545"")"),0)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IFERROR(__xludf.DUMMYFUNCTION("IMPORTRANGE(""https://docs.google.com/spreadsheets/d/11923uPwbBZFjjGgGUA6NLw09EwE0CqkOc4q9oUmW1yo/edit?usp=sharing"",""แม่ฮ่องสอน!I546"")"),0)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IFERROR(__xludf.DUMMYFUNCTION("IMPORTRANGE(""https://docs.google.com/spreadsheets/d/11923uPwbBZFjjGgGUA6NLw09EwE0CqkOc4q9oUmW1yo/edit?usp=sharing"",""แม่ฮ่องสอน!L546"")"),0)</f>
        <v>0</v>
      </c>
      <c r="M651" s="521"/>
      <c r="N651" s="538">
        <f ca="1">IFERROR(__xludf.DUMMYFUNCTION("IMPORTRANGE(""https://docs.google.com/spreadsheets/d/11923uPwbBZFjjGgGUA6NLw09EwE0CqkOc4q9oUmW1yo/edit?usp=sharing"",""แม่ฮ่องสอน!M546"")"),0)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IFERROR(__xludf.DUMMYFUNCTION("IMPORTRANGE(""https://docs.google.com/spreadsheets/d/11923uPwbBZFjjGgGUA6NLw09EwE0CqkOc4q9oUmW1yo/edit?usp=sharing"",""แม่ฮ่องสอน!J547"")"),0)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IFERROR(__xludf.DUMMYFUNCTION("IMPORTRANGE(""https://docs.google.com/spreadsheets/d/11923uPwbBZFjjGgGUA6NLw09EwE0CqkOc4q9oUmW1yo/edit?usp=sharing"",""แม่ฮ่องสอน!J548"")"),0)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IFERROR(__xludf.DUMMYFUNCTION("IMPORTRANGE(""https://docs.google.com/spreadsheets/d/11923uPwbBZFjjGgGUA6NLw09EwE0CqkOc4q9oUmW1yo/edit?usp=sharing"",""แม่ฮ่องสอน!J550"")"),0)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IFERROR(__xludf.DUMMYFUNCTION("IMPORTRANGE(""https://docs.google.com/spreadsheets/d/11923uPwbBZFjjGgGUA6NLw09EwE0CqkOc4q9oUmW1yo/edit?usp=sharing"",""แม่ฮ่องสอน!J551"")"),0)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IFERROR(__xludf.DUMMYFUNCTION("IMPORTRANGE(""https://docs.google.com/spreadsheets/d/11923uPwbBZFjjGgGUA6NLw09EwE0CqkOc4q9oUmW1yo/edit?usp=sharing"",""แม่ฮ่องสอน!J552"")"),0)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IFERROR(__xludf.DUMMYFUNCTION("IMPORTRANGE(""https://docs.google.com/spreadsheets/d/11923uPwbBZFjjGgGUA6NLw09EwE0CqkOc4q9oUmW1yo/edit?usp=sharing"",""แม่ฮ่องสอน!J553"")"),0)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IFERROR(__xludf.DUMMYFUNCTION("IMPORTRANGE(""https://docs.google.com/spreadsheets/d/11923uPwbBZFjjGgGUA6NLw09EwE0CqkOc4q9oUmW1yo/edit?usp=sharing"",""แม่ฮ่องสอน!J554"")"),0)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IFERROR(__xludf.DUMMYFUNCTION("IMPORTRANGE(""https://docs.google.com/spreadsheets/d/11923uPwbBZFjjGgGUA6NLw09EwE0CqkOc4q9oUmW1yo/edit?usp=sharing"",""แม่ฮ่องสอน!J555"")"),0)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IFERROR(__xludf.DUMMYFUNCTION("IMPORTRANGE(""https://docs.google.com/spreadsheets/d/11923uPwbBZFjjGgGUA6NLw09EwE0CqkOc4q9oUmW1yo/edit?usp=sharing"",""แม่ฮ่องสอน!J556"")"),0)</f>
        <v>0</v>
      </c>
      <c r="K661" s="537"/>
      <c r="L661" s="522">
        <f ca="1">IFERROR(__xludf.DUMMYFUNCTION("IMPORTRANGE(""https://docs.google.com/spreadsheets/d/11923uPwbBZFjjGgGUA6NLw09EwE0CqkOc4q9oUmW1yo/edit?usp=sharing"",""แม่ฮ่องสอน!L556"")"),0)</f>
        <v>0</v>
      </c>
      <c r="M661" s="521"/>
      <c r="N661" s="538">
        <f ca="1">IFERROR(__xludf.DUMMYFUNCTION("IMPORTRANGE(""https://docs.google.com/spreadsheets/d/11923uPwbBZFjjGgGUA6NLw09EwE0CqkOc4q9oUmW1yo/edit?usp=sharing"",""แม่ฮ่องสอน!M556"")"),0)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IFERROR(__xludf.DUMMYFUNCTION("IMPORTRANGE(""https://docs.google.com/spreadsheets/d/11923uPwbBZFjjGgGUA6NLw09EwE0CqkOc4q9oUmW1yo/edit?usp=sharing"",""แม่ฮ่องสอน!J557"")"),0)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IFERROR(__xludf.DUMMYFUNCTION("IMPORTRANGE(""https://docs.google.com/spreadsheets/d/11923uPwbBZFjjGgGUA6NLw09EwE0CqkOc4q9oUmW1yo/edit?usp=sharing"",""แม่ฮ่องสอน!I558"")"),0)</f>
        <v>0</v>
      </c>
      <c r="J663" s="536">
        <f ca="1">IFERROR(__xludf.DUMMYFUNCTION("IMPORTRANGE(""https://docs.google.com/spreadsheets/d/11923uPwbBZFjjGgGUA6NLw09EwE0CqkOc4q9oUmW1yo/edit?usp=sharing"",""แม่ฮ่องสอน!J558"")"),0)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IFERROR(__xludf.DUMMYFUNCTION("IMPORTRANGE(""https://docs.google.com/spreadsheets/d/11923uPwbBZFjjGgGUA6NLw09EwE0CqkOc4q9oUmW1yo/edit?usp=sharing"",""แม่ฮ่องสอน!I560"")"),0)</f>
        <v>0</v>
      </c>
      <c r="J665" s="536">
        <f ca="1">IFERROR(__xludf.DUMMYFUNCTION("IMPORTRANGE(""https://docs.google.com/spreadsheets/d/11923uPwbBZFjjGgGUA6NLw09EwE0CqkOc4q9oUmW1yo/edit?usp=sharing"",""แม่ฮ่องสอน!J560"")"),0)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IFERROR(__xludf.DUMMYFUNCTION("IMPORTRANGE(""https://docs.google.com/spreadsheets/d/11923uPwbBZFjjGgGUA6NLw09EwE0CqkOc4q9oUmW1yo/edit?usp=sharing"",""แม่ฮ่องสอน!L560"")"),0)</f>
        <v>0</v>
      </c>
      <c r="M665" s="521"/>
      <c r="N665" s="538">
        <f ca="1">IFERROR(__xludf.DUMMYFUNCTION("IMPORTRANGE(""https://docs.google.com/spreadsheets/d/11923uPwbBZFjjGgGUA6NLw09EwE0CqkOc4q9oUmW1yo/edit?usp=sharing"",""แม่ฮ่องสอน!M560"")"),0)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IFERROR(__xludf.DUMMYFUNCTION("IMPORTRANGE(""https://docs.google.com/spreadsheets/d/11923uPwbBZFjjGgGUA6NLw09EwE0CqkOc4q9oUmW1yo/edit?usp=sharing"",""แม่ฮ่องสอน!J561"")"),0)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IFERROR(__xludf.DUMMYFUNCTION("IMPORTRANGE(""https://docs.google.com/spreadsheets/d/11923uPwbBZFjjGgGUA6NLw09EwE0CqkOc4q9oUmW1yo/edit?usp=sharing"",""แม่ฮ่องสอน!J562"")"),0)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IFERROR(__xludf.DUMMYFUNCTION("IMPORTRANGE(""https://docs.google.com/spreadsheets/d/11923uPwbBZFjjGgGUA6NLw09EwE0CqkOc4q9oUmW1yo/edit?usp=sharing"",""แม่ฮ่องสอน!I563"")"),0)</f>
        <v>0</v>
      </c>
      <c r="J668" s="536">
        <f ca="1">IFERROR(__xludf.DUMMYFUNCTION("IMPORTRANGE(""https://docs.google.com/spreadsheets/d/11923uPwbBZFjjGgGUA6NLw09EwE0CqkOc4q9oUmW1yo/edit?usp=sharing"",""แม่ฮ่องสอน!J563"")"),0)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IFERROR(__xludf.DUMMYFUNCTION("IMPORTRANGE(""https://docs.google.com/spreadsheets/d/11923uPwbBZFjjGgGUA6NLw09EwE0CqkOc4q9oUmW1yo/edit?usp=sharing"",""แม่ฮ่องสอน!L563"")"),0)</f>
        <v>0</v>
      </c>
      <c r="M668" s="521"/>
      <c r="N668" s="538">
        <f ca="1">IFERROR(__xludf.DUMMYFUNCTION("IMPORTRANGE(""https://docs.google.com/spreadsheets/d/11923uPwbBZFjjGgGUA6NLw09EwE0CqkOc4q9oUmW1yo/edit?usp=sharing"",""แม่ฮ่องสอน!M563"")"),0)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IFERROR(__xludf.DUMMYFUNCTION("IMPORTRANGE(""https://docs.google.com/spreadsheets/d/11923uPwbBZFjjGgGUA6NLw09EwE0CqkOc4q9oUmW1yo/edit?usp=sharing"",""แม่ฮ่องสอน!J564"")"),0)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IFERROR(__xludf.DUMMYFUNCTION("IMPORTRANGE(""https://docs.google.com/spreadsheets/d/11923uPwbBZFjjGgGUA6NLw09EwE0CqkOc4q9oUmW1yo/edit?usp=sharing"",""แม่ฮ่องสอน!J565"")"),0)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IFERROR(__xludf.DUMMYFUNCTION("IMPORTRANGE(""https://docs.google.com/spreadsheets/d/11923uPwbBZFjjGgGUA6NLw09EwE0CqkOc4q9oUmW1yo/edit?usp=sharing"",""แม่ฮ่องสอน!I566"")"),0)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IFERROR(__xludf.DUMMYFUNCTION("IMPORTRANGE(""https://docs.google.com/spreadsheets/d/11923uPwbBZFjjGgGUA6NLw09EwE0CqkOc4q9oUmW1yo/edit?usp=sharing"",""แม่ฮ่องสอน!L566"")"),0)</f>
        <v>0</v>
      </c>
      <c r="M671" s="521"/>
      <c r="N671" s="538">
        <f ca="1">IFERROR(__xludf.DUMMYFUNCTION("IMPORTRANGE(""https://docs.google.com/spreadsheets/d/11923uPwbBZFjjGgGUA6NLw09EwE0CqkOc4q9oUmW1yo/edit?usp=sharing"",""แม่ฮ่องสอน!M566"")"),0)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IFERROR(__xludf.DUMMYFUNCTION("IMPORTRANGE(""https://docs.google.com/spreadsheets/d/11923uPwbBZFjjGgGUA6NLw09EwE0CqkOc4q9oUmW1yo/edit?usp=sharing"",""แม่ฮ่องสอน!J567"")"),0)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IFERROR(__xludf.DUMMYFUNCTION("IMPORTRANGE(""https://docs.google.com/spreadsheets/d/11923uPwbBZFjjGgGUA6NLw09EwE0CqkOc4q9oUmW1yo/edit?usp=sharing"",""แม่ฮ่องสอน!J568"")"),0)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IFERROR(__xludf.DUMMYFUNCTION("IMPORTRANGE(""https://docs.google.com/spreadsheets/d/11923uPwbBZFjjGgGUA6NLw09EwE0CqkOc4q9oUmW1yo/edit?usp=sharing"",""แม่ฮ่องสอน!J569"")"),0)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IFERROR(__xludf.DUMMYFUNCTION("IMPORTRANGE(""https://docs.google.com/spreadsheets/d/11923uPwbBZFjjGgGUA6NLw09EwE0CqkOc4q9oUmW1yo/edit?usp=sharing"",""แม่ฮ่องสอน!J570"")"),0)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IFERROR(__xludf.DUMMYFUNCTION("IMPORTRANGE(""https://docs.google.com/spreadsheets/d/11923uPwbBZFjjGgGUA6NLw09EwE0CqkOc4q9oUmW1yo/edit?usp=sharing"",""แม่ฮ่องสอน!J571"")"),0)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IFERROR(__xludf.DUMMYFUNCTION("IMPORTRANGE(""https://docs.google.com/spreadsheets/d/11923uPwbBZFjjGgGUA6NLw09EwE0CqkOc4q9oUmW1yo/edit?usp=sharing"",""แม่ฮ่องสอน!J572"")"),0)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3:P3"/>
    <mergeCell ref="A2:P2"/>
    <mergeCell ref="A1:P1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284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5364855</v>
      </c>
      <c r="M8" s="23">
        <f t="shared" ca="1" si="0"/>
        <v>2822814</v>
      </c>
      <c r="N8" s="23">
        <f t="shared" ca="1" si="0"/>
        <v>3353761.05</v>
      </c>
      <c r="O8" s="22">
        <f t="shared" ref="O8:O16" ca="1" si="1">IF(L8&gt;0,N8*100/L8,0)</f>
        <v>62.513545100473358</v>
      </c>
      <c r="P8" s="22">
        <f t="shared" ref="P8:P16" ca="1" si="2">IF(M8&gt;0,N8*100/M8,0)</f>
        <v>118.80914045346239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5364855</v>
      </c>
      <c r="M10" s="30">
        <f t="shared" ca="1" si="4"/>
        <v>2822814</v>
      </c>
      <c r="N10" s="30">
        <f t="shared" ca="1" si="4"/>
        <v>3353761.05</v>
      </c>
      <c r="O10" s="29">
        <f t="shared" ca="1" si="1"/>
        <v>62.513545100473358</v>
      </c>
      <c r="P10" s="29">
        <f t="shared" ca="1" si="2"/>
        <v>118.80914045346239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5154860</v>
      </c>
      <c r="M12" s="39">
        <f t="shared" ca="1" si="6"/>
        <v>2612819</v>
      </c>
      <c r="N12" s="39">
        <f t="shared" ca="1" si="6"/>
        <v>3143766.05</v>
      </c>
      <c r="O12" s="39">
        <f t="shared" ca="1" si="1"/>
        <v>60.986448710537239</v>
      </c>
      <c r="P12" s="39">
        <f t="shared" ca="1" si="2"/>
        <v>120.32085077458484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1833600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3321260</v>
      </c>
      <c r="M14" s="39">
        <f t="shared" si="8"/>
        <v>0</v>
      </c>
      <c r="N14" s="39">
        <f t="shared" ca="1" si="8"/>
        <v>1186551.6300000001</v>
      </c>
      <c r="O14" s="39">
        <f t="shared" ca="1" si="1"/>
        <v>35.725948284687142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209995</v>
      </c>
      <c r="M16" s="39">
        <f t="shared" ca="1" si="10"/>
        <v>209995</v>
      </c>
      <c r="N16" s="39">
        <f t="shared" ca="1" si="10"/>
        <v>209995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2717420</v>
      </c>
      <c r="M18" s="23">
        <f t="shared" ca="1" si="11"/>
        <v>2822814</v>
      </c>
      <c r="N18" s="23">
        <f t="shared" ca="1" si="11"/>
        <v>2167209.42</v>
      </c>
      <c r="O18" s="22">
        <f t="shared" ref="O18:O20" ca="1" si="12">IF(L18&gt;0,N18*100/L18,0)</f>
        <v>79.752464469975195</v>
      </c>
      <c r="P18" s="22">
        <f t="shared" ref="P18:P26" ca="1" si="13">IF(M18&gt;0,N18*100/M18,0)</f>
        <v>76.774786436513352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2717420</v>
      </c>
      <c r="M20" s="30">
        <f t="shared" ca="1" si="15"/>
        <v>2822814</v>
      </c>
      <c r="N20" s="30">
        <f t="shared" ca="1" si="15"/>
        <v>2167209.42</v>
      </c>
      <c r="O20" s="29">
        <f t="shared" ca="1" si="12"/>
        <v>79.752464469975195</v>
      </c>
      <c r="P20" s="29">
        <f t="shared" ca="1" si="13"/>
        <v>76.774786436513352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2507425</v>
      </c>
      <c r="M22" s="42">
        <f t="shared" ca="1" si="18"/>
        <v>2612819</v>
      </c>
      <c r="N22" s="39">
        <f t="shared" ca="1" si="18"/>
        <v>1957214.42</v>
      </c>
      <c r="O22" s="39">
        <f t="shared" ca="1" si="17"/>
        <v>78.056748257674712</v>
      </c>
      <c r="P22" s="39">
        <f t="shared" ca="1" si="13"/>
        <v>74.908151693630515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1833600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673825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209995</v>
      </c>
      <c r="M26" s="50">
        <f t="shared" ca="1" si="22"/>
        <v>209995</v>
      </c>
      <c r="N26" s="50">
        <f t="shared" ca="1" si="22"/>
        <v>209995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2647435</v>
      </c>
      <c r="M28" s="23">
        <f t="shared" si="23"/>
        <v>0</v>
      </c>
      <c r="N28" s="23">
        <f t="shared" ca="1" si="23"/>
        <v>1186551.6300000001</v>
      </c>
      <c r="O28" s="22">
        <f t="shared" ref="O28:O30" ca="1" si="24">IF(L28&gt;0,N28*100/L28,0)</f>
        <v>44.818914534256749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2647435</v>
      </c>
      <c r="M30" s="30">
        <f t="shared" si="27"/>
        <v>0</v>
      </c>
      <c r="N30" s="30">
        <f t="shared" ca="1" si="27"/>
        <v>1186551.6300000001</v>
      </c>
      <c r="O30" s="29">
        <f t="shared" ca="1" si="24"/>
        <v>44.818914534256749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2647435</v>
      </c>
      <c r="M32" s="39">
        <f t="shared" si="30"/>
        <v>0</v>
      </c>
      <c r="N32" s="39">
        <f t="shared" ca="1" si="30"/>
        <v>1186551.6300000001</v>
      </c>
      <c r="O32" s="39">
        <f t="shared" ca="1" si="29"/>
        <v>44.818914534256749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2647435</v>
      </c>
      <c r="M34" s="39">
        <f t="shared" si="32"/>
        <v>0</v>
      </c>
      <c r="N34" s="39">
        <f t="shared" ca="1" si="32"/>
        <v>1186551.6300000001</v>
      </c>
      <c r="O34" s="39">
        <f t="shared" ca="1" si="29"/>
        <v>44.818914534256749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2717420</v>
      </c>
      <c r="M37" s="55">
        <f t="shared" ca="1" si="33"/>
        <v>2822814</v>
      </c>
      <c r="N37" s="55">
        <f t="shared" ca="1" si="33"/>
        <v>2167209.42</v>
      </c>
      <c r="O37" s="56">
        <f t="shared" ca="1" si="29"/>
        <v>79.752464469975195</v>
      </c>
      <c r="P37" s="56">
        <f t="shared" ca="1" si="25"/>
        <v>76.774786436513352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644400</v>
      </c>
      <c r="M41" s="79">
        <f t="shared" ca="1" si="34"/>
        <v>644400</v>
      </c>
      <c r="N41" s="79">
        <f t="shared" ca="1" si="34"/>
        <v>540491.36</v>
      </c>
      <c r="O41" s="78">
        <f t="shared" ref="O41:O43" ca="1" si="35">IF(L41&gt;0,N41*100/L41,0)</f>
        <v>83.875133457479819</v>
      </c>
      <c r="P41" s="78">
        <f t="shared" ref="P41:P43" ca="1" si="36">IF(M41&gt;0,N41*100/M41,0)</f>
        <v>83.875133457479819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644400</v>
      </c>
      <c r="M43" s="79">
        <f t="shared" ca="1" si="38"/>
        <v>644400</v>
      </c>
      <c r="N43" s="79">
        <f t="shared" ca="1" si="38"/>
        <v>540491.36</v>
      </c>
      <c r="O43" s="78">
        <f t="shared" ca="1" si="35"/>
        <v>83.875133457479819</v>
      </c>
      <c r="P43" s="78">
        <f t="shared" ca="1" si="36"/>
        <v>83.875133457479819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644400</v>
      </c>
      <c r="M45" s="50">
        <f ca="1">IFERROR(__xludf.DUMMYFUNCTION("IMPORTRANGE(""https://docs.google.com/spreadsheets/d/1Yj_ptqi66GCucihVvJfMjLAmec39IyEx_6qawtMGysU/edit?usp=sharing"",""สบก!Q32"")"),644400)</f>
        <v>644400</v>
      </c>
      <c r="N45" s="50">
        <f ca="1">IFERROR(__xludf.DUMMYFUNCTION("IMPORTRANGE(""https://docs.google.com/spreadsheets/d/1Yj_ptqi66GCucihVvJfMjLAmec39IyEx_6qawtMGysU/edit?usp=sharing"",""สบก!R32"")"),540491.36)</f>
        <v>540491.36</v>
      </c>
      <c r="O45" s="39">
        <f ca="1">IF(L45&gt;0,N45*100/L45,0)</f>
        <v>83.875133457479819</v>
      </c>
      <c r="P45" s="39">
        <f ca="1">IF(M45&gt;0,N45*100/M45,0)</f>
        <v>83.875133457479819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IFERROR(__xludf.DUMMYFUNCTION("IMPORTRANGE(""https://docs.google.com/spreadsheets/d/1Yj_ptqi66GCucihVvJfMjLAmec39IyEx_6qawtMGysU/edit?usp=sharing"",""สบก!M32"")"),644400)</f>
        <v>644400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IFERROR(__xludf.DUMMYFUNCTION("IMPORTRANGE(""https://docs.google.com/spreadsheets/d/1Yj_ptqi66GCucihVvJfMjLAmec39IyEx_6qawtMGysU/edit?usp=sharing"",""สบก!N32"")"),0)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IFERROR(__xludf.DUMMYFUNCTION("IMPORTRANGE(""https://docs.google.com/spreadsheets/d/1Yj_ptqi66GCucihVvJfMjLAmec39IyEx_6qawtMGysU/edit?usp=sharing"",""สบก!O32"")"),0)</f>
        <v>0</v>
      </c>
      <c r="M49" s="50"/>
      <c r="N49" s="50">
        <f ca="1">IFERROR(__xludf.DUMMYFUNCTION("IMPORTRANGE(""https://docs.google.com/spreadsheets/d/1Yj_ptqi66GCucihVvJfMjLAmec39IyEx_6qawtMGysU/edit?usp=sharing"",""สบก!S32"")"),0)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566000</v>
      </c>
      <c r="M53" s="121">
        <f t="shared" ca="1" si="39"/>
        <v>543894</v>
      </c>
      <c r="N53" s="121">
        <f t="shared" ca="1" si="39"/>
        <v>439894</v>
      </c>
      <c r="O53" s="120">
        <f t="shared" ref="O53:O55" ca="1" si="40">IF(L53&gt;0,N53*100/L53,0)</f>
        <v>77.719787985865722</v>
      </c>
      <c r="P53" s="120">
        <f t="shared" ref="P53:P55" ca="1" si="41">IF(M53&gt;0,N53*100/M53,0)</f>
        <v>80.878627085424739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566000</v>
      </c>
      <c r="M55" s="121">
        <f t="shared" ca="1" si="43"/>
        <v>543894</v>
      </c>
      <c r="N55" s="121">
        <f t="shared" ca="1" si="43"/>
        <v>439894</v>
      </c>
      <c r="O55" s="120">
        <f t="shared" ca="1" si="40"/>
        <v>77.719787985865722</v>
      </c>
      <c r="P55" s="120">
        <f t="shared" ca="1" si="41"/>
        <v>80.878627085424739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566000</v>
      </c>
      <c r="M57" s="50">
        <f ca="1">IFERROR(__xludf.DUMMYFUNCTION("IMPORTRANGE(""https://docs.google.com/spreadsheets/d/1Yj_ptqi66GCucihVvJfMjLAmec39IyEx_6qawtMGysU/edit?usp=sharing"",""สบก!Z32"")"),543894)</f>
        <v>543894</v>
      </c>
      <c r="N57" s="50">
        <f ca="1">IFERROR(__xludf.DUMMYFUNCTION("IMPORTRANGE(""https://docs.google.com/spreadsheets/d/1Yj_ptqi66GCucihVvJfMjLAmec39IyEx_6qawtMGysU/edit?usp=sharing"",""สบก!AA32"")"),439894)</f>
        <v>439894</v>
      </c>
      <c r="O57" s="39">
        <f ca="1">IF(L57&gt;0,N57*100/L57,0)</f>
        <v>77.719787985865722</v>
      </c>
      <c r="P57" s="39">
        <f ca="1">IF(M57&gt;0,N57*100/M57,0)</f>
        <v>80.878627085424739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IFERROR(__xludf.DUMMYFUNCTION("IMPORTRANGE(""https://docs.google.com/spreadsheets/d/1Yj_ptqi66GCucihVvJfMjLAmec39IyEx_6qawtMGysU/edit?usp=sharing"",""สบก!V32"")"),566000)</f>
        <v>566000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IFERROR(__xludf.DUMMYFUNCTION("IMPORTRANGE(""https://docs.google.com/spreadsheets/d/1Yj_ptqi66GCucihVvJfMjLAmec39IyEx_6qawtMGysU/edit?usp=sharing"",""สบก!W32"")"),0)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IFERROR(__xludf.DUMMYFUNCTION("IMPORTRANGE(""https://docs.google.com/spreadsheets/d/1Yj_ptqi66GCucihVvJfMjLAmec39IyEx_6qawtMGysU/edit?usp=sharing"",""สบก!X32"")"),0)</f>
        <v>0</v>
      </c>
      <c r="M61" s="50"/>
      <c r="N61" s="50">
        <f ca="1">IFERROR(__xludf.DUMMYFUNCTION("IMPORTRANGE(""https://docs.google.com/spreadsheets/d/1Yj_ptqi66GCucihVvJfMjLAmec39IyEx_6qawtMGysU/edit?usp=sharing"",""สบก!AB32"")"),0)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IFERROR(__xludf.DUMMYFUNCTION("IMPORTRANGE(""https://docs.google.com/spreadsheets/d/11923uPwbBZFjjGgGUA6NLw09EwE0CqkOc4q9oUmW1yo/edit?usp=sharing"",""ลำปาง!I9"")"),0)</f>
        <v>0</v>
      </c>
      <c r="J64" s="142">
        <f ca="1">IFERROR(__xludf.DUMMYFUNCTION("IMPORTRANGE(""https://docs.google.com/spreadsheets/d/11923uPwbBZFjjGgGUA6NLw09EwE0CqkOc4q9oUmW1yo/edit?usp=sharing"",""ลำปาง!J9"")"),0)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IFERROR(__xludf.DUMMYFUNCTION("IMPORTRANGE(""https://docs.google.com/spreadsheets/d/11923uPwbBZFjjGgGUA6NLw09EwE0CqkOc4q9oUmW1yo/edit?usp=sharing"",""ลำปาง!I10"")"),0)</f>
        <v>0</v>
      </c>
      <c r="J65" s="142">
        <f ca="1">IFERROR(__xludf.DUMMYFUNCTION("IMPORTRANGE(""https://docs.google.com/spreadsheets/d/11923uPwbBZFjjGgGUA6NLw09EwE0CqkOc4q9oUmW1yo/edit?usp=sharing"",""ลำปาง!J10"")"),0)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28700</v>
      </c>
      <c r="N66" s="152">
        <f t="shared" ca="1" si="45"/>
        <v>20160</v>
      </c>
      <c r="O66" s="151">
        <f t="shared" ref="O66:O68" ca="1" si="46">IF(L66&gt;0,N66*100/L66,0)</f>
        <v>0</v>
      </c>
      <c r="P66" s="151">
        <f t="shared" ref="P66:P68" ca="1" si="47">IF(M66&gt;0,N66*100/M66,0)</f>
        <v>70.243902439024396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28700</v>
      </c>
      <c r="N68" s="88">
        <f t="shared" ca="1" si="49"/>
        <v>20160</v>
      </c>
      <c r="O68" s="156">
        <f t="shared" ca="1" si="46"/>
        <v>0</v>
      </c>
      <c r="P68" s="156">
        <f t="shared" ca="1" si="47"/>
        <v>70.243902439024396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IFERROR(__xludf.DUMMYFUNCTION("IMPORTRANGE(""https://docs.google.com/spreadsheets/d/1Yj_ptqi66GCucihVvJfMjLAmec39IyEx_6qawtMGysU/edit?usp=sharing"",""สบก!AI32"")"),28700)</f>
        <v>28700</v>
      </c>
      <c r="N70" s="168">
        <f ca="1">IFERROR(__xludf.DUMMYFUNCTION("IMPORTRANGE(""https://docs.google.com/spreadsheets/d/1Yj_ptqi66GCucihVvJfMjLAmec39IyEx_6qawtMGysU/edit?usp=sharing"",""สบก!AJ32"")"),20160)</f>
        <v>20160</v>
      </c>
      <c r="O70" s="168">
        <f ca="1">IF(L70&gt;0,N70*100/L70,0)</f>
        <v>0</v>
      </c>
      <c r="P70" s="168">
        <f ca="1">IF(M70&gt;0,N70*100/M70,0)</f>
        <v>70.243902439024396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IFERROR(__xludf.DUMMYFUNCTION("IMPORTRANGE(""https://docs.google.com/spreadsheets/d/1Yj_ptqi66GCucihVvJfMjLAmec39IyEx_6qawtMGysU/edit?usp=sharing"",""สบก!AE32"")"),0)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IFERROR(__xludf.DUMMYFUNCTION("IMPORTRANGE(""https://docs.google.com/spreadsheets/d/1Yj_ptqi66GCucihVvJfMjLAmec39IyEx_6qawtMGysU/edit?usp=sharing"",""สบก!AF32"")"),0)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IFERROR(__xludf.DUMMYFUNCTION("IMPORTRANGE(""https://docs.google.com/spreadsheets/d/1Yj_ptqi66GCucihVvJfMjLAmec39IyEx_6qawtMGysU/edit?usp=sharing"",""สบก!AG32"")"),0)</f>
        <v>0</v>
      </c>
      <c r="M74" s="50"/>
      <c r="N74" s="50">
        <f ca="1">IFERROR(__xludf.DUMMYFUNCTION("IMPORTRANGE(""https://docs.google.com/spreadsheets/d/1Yj_ptqi66GCucihVvJfMjLAmec39IyEx_6qawtMGysU/edit?usp=sharing"",""สบก!AK32"")"),0)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IFERROR(__xludf.DUMMYFUNCTION("IMPORTRANGE(""https://docs.google.com/spreadsheets/d/11923uPwbBZFjjGgGUA6NLw09EwE0CqkOc4q9oUmW1yo/edit?usp=sharing"",""ลำปาง!J16"")"),0)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IFERROR(__xludf.DUMMYFUNCTION("IMPORTRANGE(""https://docs.google.com/spreadsheets/d/11923uPwbBZFjjGgGUA6NLw09EwE0CqkOc4q9oUmW1yo/edit?usp=sharing"",""ลำปาง!J17"")"),0)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IFERROR(__xludf.DUMMYFUNCTION("IMPORTRANGE(""https://docs.google.com/spreadsheets/d/11923uPwbBZFjjGgGUA6NLw09EwE0CqkOc4q9oUmW1yo/edit?usp=sharing"",""ลำปาง!J18"")"),0)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IFERROR(__xludf.DUMMYFUNCTION("IMPORTRANGE(""https://docs.google.com/spreadsheets/d/11923uPwbBZFjjGgGUA6NLw09EwE0CqkOc4q9oUmW1yo/edit?usp=sharing"",""ลำปาง!J19"")"),0)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IFERROR(__xludf.DUMMYFUNCTION("IMPORTRANGE(""https://docs.google.com/spreadsheets/d/11923uPwbBZFjjGgGUA6NLw09EwE0CqkOc4q9oUmW1yo/edit?usp=sharing"",""ลำปาง!I20"")"),0)</f>
        <v>0</v>
      </c>
      <c r="J80" s="200">
        <f ca="1">IFERROR(__xludf.DUMMYFUNCTION("IMPORTRANGE(""https://docs.google.com/spreadsheets/d/11923uPwbBZFjjGgGUA6NLw09EwE0CqkOc4q9oUmW1yo/edit?usp=sharing"",""ลำปาง!J20"")"),0)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IFERROR(__xludf.DUMMYFUNCTION("IMPORTRANGE(""https://docs.google.com/spreadsheets/d/11923uPwbBZFjjGgGUA6NLw09EwE0CqkOc4q9oUmW1yo/edit?usp=sharing"",""ลำปาง!I21"")"),0)</f>
        <v>0</v>
      </c>
      <c r="J81" s="200">
        <f ca="1">IFERROR(__xludf.DUMMYFUNCTION("IMPORTRANGE(""https://docs.google.com/spreadsheets/d/11923uPwbBZFjjGgGUA6NLw09EwE0CqkOc4q9oUmW1yo/edit?usp=sharing"",""ลำปาง!J21"")"),0)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IFERROR(__xludf.DUMMYFUNCTION("IMPORTRANGE(""https://docs.google.com/spreadsheets/d/11923uPwbBZFjjGgGUA6NLw09EwE0CqkOc4q9oUmW1yo/edit?usp=sharing"",""ลำปาง!I22"")"),0)</f>
        <v>0</v>
      </c>
      <c r="J82" s="203">
        <f ca="1">IFERROR(__xludf.DUMMYFUNCTION("IMPORTRANGE(""https://docs.google.com/spreadsheets/d/11923uPwbBZFjjGgGUA6NLw09EwE0CqkOc4q9oUmW1yo/edit?usp=sharing"",""ลำปาง!J22"")"),0)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IFERROR(__xludf.DUMMYFUNCTION("IMPORTRANGE(""https://docs.google.com/spreadsheets/d/11923uPwbBZFjjGgGUA6NLw09EwE0CqkOc4q9oUmW1yo/edit?usp=sharing"",""ลำปาง!I23"")"),0)</f>
        <v>0</v>
      </c>
      <c r="J83" s="203">
        <f ca="1">IFERROR(__xludf.DUMMYFUNCTION("IMPORTRANGE(""https://docs.google.com/spreadsheets/d/11923uPwbBZFjjGgGUA6NLw09EwE0CqkOc4q9oUmW1yo/edit?usp=sharing"",""ลำปาง!J23"")"),0)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IFERROR(__xludf.DUMMYFUNCTION("IMPORTRANGE(""https://docs.google.com/spreadsheets/d/11923uPwbBZFjjGgGUA6NLw09EwE0CqkOc4q9oUmW1yo/edit?usp=sharing"",""ลำปาง!I24"")"),0)</f>
        <v>0</v>
      </c>
      <c r="J84" s="188">
        <f ca="1">IFERROR(__xludf.DUMMYFUNCTION("IMPORTRANGE(""https://docs.google.com/spreadsheets/d/11923uPwbBZFjjGgGUA6NLw09EwE0CqkOc4q9oUmW1yo/edit?usp=sharing"",""ลำปาง!J24"")"),0)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IFERROR(__xludf.DUMMYFUNCTION("IMPORTRANGE(""https://docs.google.com/spreadsheets/d/11923uPwbBZFjjGgGUA6NLw09EwE0CqkOc4q9oUmW1yo/edit?usp=sharing"",""ลำปาง!I25"")"),0)</f>
        <v>0</v>
      </c>
      <c r="J85" s="188">
        <f ca="1">IFERROR(__xludf.DUMMYFUNCTION("IMPORTRANGE(""https://docs.google.com/spreadsheets/d/11923uPwbBZFjjGgGUA6NLw09EwE0CqkOc4q9oUmW1yo/edit?usp=sharing"",""ลำปาง!J25"")"),0)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IFERROR(__xludf.DUMMYFUNCTION("IMPORTRANGE(""https://docs.google.com/spreadsheets/d/11923uPwbBZFjjGgGUA6NLw09EwE0CqkOc4q9oUmW1yo/edit?usp=sharing"",""ลำปาง!I26"")"),0)</f>
        <v>0</v>
      </c>
      <c r="J86" s="203">
        <f ca="1">IFERROR(__xludf.DUMMYFUNCTION("IMPORTRANGE(""https://docs.google.com/spreadsheets/d/11923uPwbBZFjjGgGUA6NLw09EwE0CqkOc4q9oUmW1yo/edit?usp=sharing"",""ลำปาง!J26"")"),0)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IFERROR(__xludf.DUMMYFUNCTION("IMPORTRANGE(""https://docs.google.com/spreadsheets/d/11923uPwbBZFjjGgGUA6NLw09EwE0CqkOc4q9oUmW1yo/edit?usp=sharing"",""ลำปาง!I27"")"),0)</f>
        <v>0</v>
      </c>
      <c r="J87" s="203">
        <f ca="1">IFERROR(__xludf.DUMMYFUNCTION("IMPORTRANGE(""https://docs.google.com/spreadsheets/d/11923uPwbBZFjjGgGUA6NLw09EwE0CqkOc4q9oUmW1yo/edit?usp=sharing"",""ลำปาง!J27"")"),0)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IFERROR(__xludf.DUMMYFUNCTION("IMPORTRANGE(""https://docs.google.com/spreadsheets/d/11923uPwbBZFjjGgGUA6NLw09EwE0CqkOc4q9oUmW1yo/edit?usp=sharing"",""ลำปาง!I28"")"),0)</f>
        <v>0</v>
      </c>
      <c r="J88" s="203">
        <f ca="1">IFERROR(__xludf.DUMMYFUNCTION("IMPORTRANGE(""https://docs.google.com/spreadsheets/d/11923uPwbBZFjjGgGUA6NLw09EwE0CqkOc4q9oUmW1yo/edit?usp=sharing"",""ลำปาง!J28"")"),0)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IFERROR(__xludf.DUMMYFUNCTION("IMPORTRANGE(""https://docs.google.com/spreadsheets/d/11923uPwbBZFjjGgGUA6NLw09EwE0CqkOc4q9oUmW1yo/edit?usp=sharing"",""ลำปาง!J29"")"),0)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IFERROR(__xludf.DUMMYFUNCTION("IMPORTRANGE(""https://docs.google.com/spreadsheets/d/11923uPwbBZFjjGgGUA6NLw09EwE0CqkOc4q9oUmW1yo/edit?usp=sharing"",""ลำปาง!J30"")"),0)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IFERROR(__xludf.DUMMYFUNCTION("IMPORTRANGE(""https://docs.google.com/spreadsheets/d/11923uPwbBZFjjGgGUA6NLw09EwE0CqkOc4q9oUmW1yo/edit?usp=sharing"",""ลำปาง!I32"")"),4)</f>
        <v>4</v>
      </c>
      <c r="J92" s="142">
        <f ca="1">IFERROR(__xludf.DUMMYFUNCTION("IMPORTRANGE(""https://docs.google.com/spreadsheets/d/11923uPwbBZFjjGgGUA6NLw09EwE0CqkOc4q9oUmW1yo/edit?usp=sharing"",""ลำปาง!J32"")"),4)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IFERROR(__xludf.DUMMYFUNCTION("IMPORTRANGE(""https://docs.google.com/spreadsheets/d/11923uPwbBZFjjGgGUA6NLw09EwE0CqkOc4q9oUmW1yo/edit?usp=sharing"",""ลำปาง!I33"")"),1)</f>
        <v>1</v>
      </c>
      <c r="J93" s="142">
        <f ca="1">IFERROR(__xludf.DUMMYFUNCTION("IMPORTRANGE(""https://docs.google.com/spreadsheets/d/11923uPwbBZFjjGgGUA6NLw09EwE0CqkOc4q9oUmW1yo/edit?usp=sharing"",""ลำปาง!J33"")"),1)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212095</v>
      </c>
      <c r="M94" s="152">
        <f t="shared" ca="1" si="52"/>
        <v>212095</v>
      </c>
      <c r="N94" s="152">
        <f t="shared" ca="1" si="52"/>
        <v>157245</v>
      </c>
      <c r="O94" s="151">
        <f t="shared" ref="O94:O96" ca="1" si="53">IF(L94&gt;0,N94*100/L94,0)</f>
        <v>74.138947169900277</v>
      </c>
      <c r="P94" s="151">
        <f t="shared" ref="P94:P96" ca="1" si="54">IF(M94&gt;0,N94*100/M94,0)</f>
        <v>74.138947169900277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212095</v>
      </c>
      <c r="M96" s="88">
        <f t="shared" ca="1" si="56"/>
        <v>212095</v>
      </c>
      <c r="N96" s="88">
        <f t="shared" ca="1" si="56"/>
        <v>157245</v>
      </c>
      <c r="O96" s="156">
        <f t="shared" ca="1" si="53"/>
        <v>74.138947169900277</v>
      </c>
      <c r="P96" s="156">
        <f t="shared" ca="1" si="54"/>
        <v>74.138947169900277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IFERROR(__xludf.DUMMYFUNCTION("IMPORTRANGE(""https://docs.google.com/spreadsheets/d/1Yj_ptqi66GCucihVvJfMjLAmec39IyEx_6qawtMGysU/edit?usp=sharing"",""สบก!AR32"")"),122100)</f>
        <v>122100</v>
      </c>
      <c r="N98" s="168">
        <f ca="1">IFERROR(__xludf.DUMMYFUNCTION("IMPORTRANGE(""https://docs.google.com/spreadsheets/d/1Yj_ptqi66GCucihVvJfMjLAmec39IyEx_6qawtMGysU/edit?usp=sharing"",""สบก!AS32"")"),67250)</f>
        <v>67250</v>
      </c>
      <c r="O98" s="168">
        <f ca="1">IF(L98&gt;0,N98*100/L98,0)</f>
        <v>55.077805077805081</v>
      </c>
      <c r="P98" s="168">
        <f ca="1">IF(M98&gt;0,N98*100/M98,0)</f>
        <v>55.077805077805081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IFERROR(__xludf.DUMMYFUNCTION("IMPORTRANGE(""https://docs.google.com/spreadsheets/d/1Yj_ptqi66GCucihVvJfMjLAmec39IyEx_6qawtMGysU/edit?usp=sharing"",""สบก!AN32"")"),0)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IFERROR(__xludf.DUMMYFUNCTION("IMPORTRANGE(""https://docs.google.com/spreadsheets/d/1Yj_ptqi66GCucihVvJfMjLAmec39IyEx_6qawtMGysU/edit?usp=sharing"",""สบก!AO32"")"),122100)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IFERROR(__xludf.DUMMYFUNCTION("IMPORTRANGE(""https://docs.google.com/spreadsheets/d/1Yj_ptqi66GCucihVvJfMjLAmec39IyEx_6qawtMGysU/edit?usp=sharing"",""สบก!AP32"")"),89995)</f>
        <v>89995</v>
      </c>
      <c r="M102" s="50">
        <f ca="1">L102</f>
        <v>89995</v>
      </c>
      <c r="N102" s="50">
        <f ca="1">IFERROR(__xludf.DUMMYFUNCTION("IMPORTRANGE(""https://docs.google.com/spreadsheets/d/1Yj_ptqi66GCucihVvJfMjLAmec39IyEx_6qawtMGysU/edit?usp=sharing"",""สบก!AT32"")"),89995)</f>
        <v>89995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IFERROR(__xludf.DUMMYFUNCTION("IMPORTRANGE(""https://docs.google.com/spreadsheets/d/11923uPwbBZFjjGgGUA6NLw09EwE0CqkOc4q9oUmW1yo/edit?usp=sharing"",""ลำปาง!J39"")"),0)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IFERROR(__xludf.DUMMYFUNCTION("IMPORTRANGE(""https://docs.google.com/spreadsheets/d/11923uPwbBZFjjGgGUA6NLw09EwE0CqkOc4q9oUmW1yo/edit?usp=sharing"",""ลำปาง!J40"")"),1)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IFERROR(__xludf.DUMMYFUNCTION("IMPORTRANGE(""https://docs.google.com/spreadsheets/d/11923uPwbBZFjjGgGUA6NLw09EwE0CqkOc4q9oUmW1yo/edit?usp=sharing"",""ลำปาง!J41"")"),1)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IFERROR(__xludf.DUMMYFUNCTION("IMPORTRANGE(""https://docs.google.com/spreadsheets/d/11923uPwbBZFjjGgGUA6NLw09EwE0CqkOc4q9oUmW1yo/edit?usp=sharing"",""ลำปาง!J42"")"),1)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IFERROR(__xludf.DUMMYFUNCTION("IMPORTRANGE(""https://docs.google.com/spreadsheets/d/11923uPwbBZFjjGgGUA6NLw09EwE0CqkOc4q9oUmW1yo/edit?usp=sharing"",""ลำปาง!I43"")"),1)</f>
        <v>1</v>
      </c>
      <c r="J108" s="203">
        <f ca="1">IFERROR(__xludf.DUMMYFUNCTION("IMPORTRANGE(""https://docs.google.com/spreadsheets/d/11923uPwbBZFjjGgGUA6NLw09EwE0CqkOc4q9oUmW1yo/edit?usp=sharing"",""ลำปาง!J43"")"),1)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IFERROR(__xludf.DUMMYFUNCTION("IMPORTRANGE(""https://docs.google.com/spreadsheets/d/11923uPwbBZFjjGgGUA6NLw09EwE0CqkOc4q9oUmW1yo/edit?usp=sharing"",""ลำปาง!I44"")"),4)</f>
        <v>4</v>
      </c>
      <c r="J109" s="203">
        <f ca="1">IFERROR(__xludf.DUMMYFUNCTION("IMPORTRANGE(""https://docs.google.com/spreadsheets/d/11923uPwbBZFjjGgGUA6NLw09EwE0CqkOc4q9oUmW1yo/edit?usp=sharing"",""ลำปาง!J44"")"),4)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IFERROR(__xludf.DUMMYFUNCTION("IMPORTRANGE(""https://docs.google.com/spreadsheets/d/11923uPwbBZFjjGgGUA6NLw09EwE0CqkOc4q9oUmW1yo/edit?usp=sharing"",""ลำปาง!I45"")"),4)</f>
        <v>4</v>
      </c>
      <c r="J110" s="203">
        <f ca="1">IFERROR(__xludf.DUMMYFUNCTION("IMPORTRANGE(""https://docs.google.com/spreadsheets/d/11923uPwbBZFjjGgGUA6NLw09EwE0CqkOc4q9oUmW1yo/edit?usp=sharing"",""ลำปาง!J45"")"),4)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IFERROR(__xludf.DUMMYFUNCTION("IMPORTRANGE(""https://docs.google.com/spreadsheets/d/11923uPwbBZFjjGgGUA6NLw09EwE0CqkOc4q9oUmW1yo/edit?usp=sharing"",""ลำปาง!I46"")"),4)</f>
        <v>4</v>
      </c>
      <c r="J111" s="203">
        <f ca="1">IFERROR(__xludf.DUMMYFUNCTION("IMPORTRANGE(""https://docs.google.com/spreadsheets/d/11923uPwbBZFjjGgGUA6NLw09EwE0CqkOc4q9oUmW1yo/edit?usp=sharing"",""ลำปาง!J46"")"),4)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IFERROR(__xludf.DUMMYFUNCTION("IMPORTRANGE(""https://docs.google.com/spreadsheets/d/11923uPwbBZFjjGgGUA6NLw09EwE0CqkOc4q9oUmW1yo/edit?usp=sharing"",""ลำปาง!I47"")"),4)</f>
        <v>4</v>
      </c>
      <c r="J112" s="203">
        <f ca="1">IFERROR(__xludf.DUMMYFUNCTION("IMPORTRANGE(""https://docs.google.com/spreadsheets/d/11923uPwbBZFjjGgGUA6NLw09EwE0CqkOc4q9oUmW1yo/edit?usp=sharing"",""ลำปาง!J47"")"),4)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IFERROR(__xludf.DUMMYFUNCTION("IMPORTRANGE(""https://docs.google.com/spreadsheets/d/11923uPwbBZFjjGgGUA6NLw09EwE0CqkOc4q9oUmW1yo/edit?usp=sharing"",""ลำปาง!I48"")"),1)</f>
        <v>1</v>
      </c>
      <c r="J113" s="203">
        <f ca="1">IFERROR(__xludf.DUMMYFUNCTION("IMPORTRANGE(""https://docs.google.com/spreadsheets/d/11923uPwbBZFjjGgGUA6NLw09EwE0CqkOc4q9oUmW1yo/edit?usp=sharing"",""ลำปาง!J48"")"),1)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IFERROR(__xludf.DUMMYFUNCTION("IMPORTRANGE(""https://docs.google.com/spreadsheets/d/11923uPwbBZFjjGgGUA6NLw09EwE0CqkOc4q9oUmW1yo/edit?usp=sharing"",""ลำปาง!J49"")"),0)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IFERROR(__xludf.DUMMYFUNCTION("IMPORTRANGE(""https://docs.google.com/spreadsheets/d/11923uPwbBZFjjGgGUA6NLw09EwE0CqkOc4q9oUmW1yo/edit?usp=sharing"",""ลำปาง!J50"")"),0)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IFERROR(__xludf.DUMMYFUNCTION("IMPORTRANGE(""https://docs.google.com/spreadsheets/d/11923uPwbBZFjjGgGUA6NLw09EwE0CqkOc4q9oUmW1yo/edit?usp=sharing"",""ลำปาง!I52"")"),0)</f>
        <v>0</v>
      </c>
      <c r="J117" s="142">
        <f ca="1">IFERROR(__xludf.DUMMYFUNCTION("IMPORTRANGE(""https://docs.google.com/spreadsheets/d/11923uPwbBZFjjGgGUA6NLw09EwE0CqkOc4q9oUmW1yo/edit?usp=sharing"",""ลำปาง!J52"")"),0)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IFERROR(__xludf.DUMMYFUNCTION("IMPORTRANGE(""https://docs.google.com/spreadsheets/d/1Yj_ptqi66GCucihVvJfMjLAmec39IyEx_6qawtMGysU/edit?usp=sharing"",""สบก!BA32"")"),0)</f>
        <v>0</v>
      </c>
      <c r="N122" s="168">
        <f ca="1">IFERROR(__xludf.DUMMYFUNCTION("IMPORTRANGE(""https://docs.google.com/spreadsheets/d/1Yj_ptqi66GCucihVvJfMjLAmec39IyEx_6qawtMGysU/edit?usp=sharing"",""สบก!BB32"")"),0)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IFERROR(__xludf.DUMMYFUNCTION("IMPORTRANGE(""https://docs.google.com/spreadsheets/d/1Yj_ptqi66GCucihVvJfMjLAmec39IyEx_6qawtMGysU/edit?usp=sharing"",""สบก!AW32"")"),0)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IFERROR(__xludf.DUMMYFUNCTION("IMPORTRANGE(""https://docs.google.com/spreadsheets/d/1Yj_ptqi66GCucihVvJfMjLAmec39IyEx_6qawtMGysU/edit?usp=sharing"",""สบก!AX32"")"),0)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IFERROR(__xludf.DUMMYFUNCTION("IMPORTRANGE(""https://docs.google.com/spreadsheets/d/1Yj_ptqi66GCucihVvJfMjLAmec39IyEx_6qawtMGysU/edit?usp=sharing"",""สบก!AY32"")"),0)</f>
        <v>0</v>
      </c>
      <c r="M126" s="50"/>
      <c r="N126" s="50">
        <f ca="1">IFERROR(__xludf.DUMMYFUNCTION("IMPORTRANGE(""https://docs.google.com/spreadsheets/d/1Yj_ptqi66GCucihVvJfMjLAmec39IyEx_6qawtMGysU/edit?usp=sharing"",""สบก!BC32"")"),0)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IFERROR(__xludf.DUMMYFUNCTION("IMPORTRANGE(""https://docs.google.com/spreadsheets/d/11923uPwbBZFjjGgGUA6NLw09EwE0CqkOc4q9oUmW1yo/edit?usp=sharing"",""ลำปาง!J58"")"),0)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IFERROR(__xludf.DUMMYFUNCTION("IMPORTRANGE(""https://docs.google.com/spreadsheets/d/11923uPwbBZFjjGgGUA6NLw09EwE0CqkOc4q9oUmW1yo/edit?usp=sharing"",""ลำปาง!J59"")"),0)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IFERROR(__xludf.DUMMYFUNCTION("IMPORTRANGE(""https://docs.google.com/spreadsheets/d/11923uPwbBZFjjGgGUA6NLw09EwE0CqkOc4q9oUmW1yo/edit?usp=sharing"",""ลำปาง!J60"")"),0)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IFERROR(__xludf.DUMMYFUNCTION("IMPORTRANGE(""https://docs.google.com/spreadsheets/d/11923uPwbBZFjjGgGUA6NLw09EwE0CqkOc4q9oUmW1yo/edit?usp=sharing"",""ลำปาง!J61"")"),0)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IFERROR(__xludf.DUMMYFUNCTION("IMPORTRANGE(""https://docs.google.com/spreadsheets/d/11923uPwbBZFjjGgGUA6NLw09EwE0CqkOc4q9oUmW1yo/edit?usp=sharing"",""ลำปาง!I62"")"),0)</f>
        <v>0</v>
      </c>
      <c r="J132" s="203">
        <f ca="1">IFERROR(__xludf.DUMMYFUNCTION("IMPORTRANGE(""https://docs.google.com/spreadsheets/d/11923uPwbBZFjjGgGUA6NLw09EwE0CqkOc4q9oUmW1yo/edit?usp=sharing"",""ลำปาง!J62"")"),0)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IFERROR(__xludf.DUMMYFUNCTION("IMPORTRANGE(""https://docs.google.com/spreadsheets/d/11923uPwbBZFjjGgGUA6NLw09EwE0CqkOc4q9oUmW1yo/edit?usp=sharing"",""ลำปาง!I63"")"),0)</f>
        <v>0</v>
      </c>
      <c r="J133" s="203">
        <f ca="1">IFERROR(__xludf.DUMMYFUNCTION("IMPORTRANGE(""https://docs.google.com/spreadsheets/d/11923uPwbBZFjjGgGUA6NLw09EwE0CqkOc4q9oUmW1yo/edit?usp=sharing"",""ลำปาง!J63"")"),0)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IFERROR(__xludf.DUMMYFUNCTION("IMPORTRANGE(""https://docs.google.com/spreadsheets/d/11923uPwbBZFjjGgGUA6NLw09EwE0CqkOc4q9oUmW1yo/edit?usp=sharing"",""ลำปาง!J64"")"),0)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IFERROR(__xludf.DUMMYFUNCTION("IMPORTRANGE(""https://docs.google.com/spreadsheets/d/11923uPwbBZFjjGgGUA6NLw09EwE0CqkOc4q9oUmW1yo/edit?usp=sharing"",""ลำปาง!J65"")"),0)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IFERROR(__xludf.DUMMYFUNCTION("IMPORTRANGE(""https://docs.google.com/spreadsheets/d/11923uPwbBZFjjGgGUA6NLw09EwE0CqkOc4q9oUmW1yo/edit?usp=sharing"",""ลำปาง!I68"")"),0)</f>
        <v>0</v>
      </c>
      <c r="J138" s="267">
        <f ca="1">IFERROR(__xludf.DUMMYFUNCTION("IMPORTRANGE(""https://docs.google.com/spreadsheets/d/11923uPwbBZFjjGgGUA6NLw09EwE0CqkOc4q9oUmW1yo/edit?usp=sharing"",""ลำปาง!J68"")"),0)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124600</v>
      </c>
      <c r="N140" s="152">
        <f t="shared" ca="1" si="64"/>
        <v>54623</v>
      </c>
      <c r="O140" s="151">
        <f t="shared" ref="O140:O142" ca="1" si="65">IF(L140&gt;0,N140*100/L140,0)</f>
        <v>79.163768115942034</v>
      </c>
      <c r="P140" s="151">
        <f t="shared" ref="P140:P142" ca="1" si="66">IF(M140&gt;0,N140*100/M140,0)</f>
        <v>43.83868378812199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124600</v>
      </c>
      <c r="N142" s="88">
        <f t="shared" ca="1" si="68"/>
        <v>54623</v>
      </c>
      <c r="O142" s="156">
        <f t="shared" ca="1" si="65"/>
        <v>79.163768115942034</v>
      </c>
      <c r="P142" s="156">
        <f t="shared" ca="1" si="66"/>
        <v>43.83868378812199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IFERROR(__xludf.DUMMYFUNCTION("IMPORTRANGE(""https://docs.google.com/spreadsheets/d/1Yj_ptqi66GCucihVvJfMjLAmec39IyEx_6qawtMGysU/edit?usp=sharing"",""สบก!BJ32"")"),124600)</f>
        <v>124600</v>
      </c>
      <c r="N144" s="168">
        <f ca="1">IFERROR(__xludf.DUMMYFUNCTION("IMPORTRANGE(""https://docs.google.com/spreadsheets/d/1Yj_ptqi66GCucihVvJfMjLAmec39IyEx_6qawtMGysU/edit?usp=sharing"",""สบก!BK32"")"),54623)</f>
        <v>54623</v>
      </c>
      <c r="O144" s="168">
        <f ca="1">IF(L144&gt;0,N144*100/L144,0)</f>
        <v>79.163768115942034</v>
      </c>
      <c r="P144" s="168">
        <f ca="1">IF(M144&gt;0,N144*100/M144,0)</f>
        <v>43.83868378812199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IFERROR(__xludf.DUMMYFUNCTION("IMPORTRANGE(""https://docs.google.com/spreadsheets/d/1Yj_ptqi66GCucihVvJfMjLAmec39IyEx_6qawtMGysU/edit?usp=sharing"",""สบก!BF32"")"),0)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IFERROR(__xludf.DUMMYFUNCTION("IMPORTRANGE(""https://docs.google.com/spreadsheets/d/1Yj_ptqi66GCucihVvJfMjLAmec39IyEx_6qawtMGysU/edit?usp=sharing"",""สบก!BG32"")"),69000)</f>
        <v>69000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IFERROR(__xludf.DUMMYFUNCTION("IMPORTRANGE(""https://docs.google.com/spreadsheets/d/1Yj_ptqi66GCucihVvJfMjLAmec39IyEx_6qawtMGysU/edit?usp=sharing"",""สบก!BH32"")"),0)</f>
        <v>0</v>
      </c>
      <c r="M148" s="50"/>
      <c r="N148" s="50">
        <f ca="1">IFERROR(__xludf.DUMMYFUNCTION("IMPORTRANGE(""https://docs.google.com/spreadsheets/d/1Yj_ptqi66GCucihVvJfMjLAmec39IyEx_6qawtMGysU/edit?usp=sharing"",""สบก!BL32"")"),0)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IFERROR(__xludf.DUMMYFUNCTION("IMPORTRANGE(""https://docs.google.com/spreadsheets/d/11923uPwbBZFjjGgGUA6NLw09EwE0CqkOc4q9oUmW1yo/edit?usp=sharing"",""ลำปาง!I74"")"),4)</f>
        <v>4</v>
      </c>
      <c r="J149" s="275">
        <f ca="1">IFERROR(__xludf.DUMMYFUNCTION("IMPORTRANGE(""https://docs.google.com/spreadsheets/d/11923uPwbBZFjjGgGUA6NLw09EwE0CqkOc4q9oUmW1yo/edit?usp=sharing"",""ลำปาง!J74"")"),2)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IFERROR(__xludf.DUMMYFUNCTION("IMPORTRANGE(""https://docs.google.com/spreadsheets/d/11923uPwbBZFjjGgGUA6NLw09EwE0CqkOc4q9oUmW1yo/edit?usp=sharing"",""ลำปาง!J79"")"),0)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IFERROR(__xludf.DUMMYFUNCTION("IMPORTRANGE(""https://docs.google.com/spreadsheets/d/11923uPwbBZFjjGgGUA6NLw09EwE0CqkOc4q9oUmW1yo/edit?usp=sharing"",""ลำปาง!J80"")"),1)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IFERROR(__xludf.DUMMYFUNCTION("IMPORTRANGE(""https://docs.google.com/spreadsheets/d/11923uPwbBZFjjGgGUA6NLw09EwE0CqkOc4q9oUmW1yo/edit?usp=sharing"",""ลำปาง!J81"")"),0)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IFERROR(__xludf.DUMMYFUNCTION("IMPORTRANGE(""https://docs.google.com/spreadsheets/d/11923uPwbBZFjjGgGUA6NLw09EwE0CqkOc4q9oUmW1yo/edit?usp=sharing"",""ลำปาง!J82"")"),1)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IFERROR(__xludf.DUMMYFUNCTION("IMPORTRANGE(""https://docs.google.com/spreadsheets/d/11923uPwbBZFjjGgGUA6NLw09EwE0CqkOc4q9oUmW1yo/edit?usp=sharing"",""ลำปาง!I83"")"),4)</f>
        <v>4</v>
      </c>
      <c r="J158" s="188">
        <f ca="1">IFERROR(__xludf.DUMMYFUNCTION("IMPORTRANGE(""https://docs.google.com/spreadsheets/d/11923uPwbBZFjjGgGUA6NLw09EwE0CqkOc4q9oUmW1yo/edit?usp=sharing"",""ลำปาง!J83"")"),2)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IFERROR(__xludf.DUMMYFUNCTION("IMPORTRANGE(""https://docs.google.com/spreadsheets/d/11923uPwbBZFjjGgGUA6NLw09EwE0CqkOc4q9oUmW1yo/edit?usp=sharing"",""ลำปาง!J84"")"),34)</f>
        <v>34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IFERROR(__xludf.DUMMYFUNCTION("IMPORTRANGE(""https://docs.google.com/spreadsheets/d/11923uPwbBZFjjGgGUA6NLw09EwE0CqkOc4q9oUmW1yo/edit?usp=sharing"",""ลำปาง!J85"")"),34)</f>
        <v>34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IFERROR(__xludf.DUMMYFUNCTION("IMPORTRANGE(""https://docs.google.com/spreadsheets/d/11923uPwbBZFjjGgGUA6NLw09EwE0CqkOc4q9oUmW1yo/edit?usp=sharing"",""ลำปาง!J86"")"),0)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IFERROR(__xludf.DUMMYFUNCTION("IMPORTRANGE(""https://docs.google.com/spreadsheets/d/11923uPwbBZFjjGgGUA6NLw09EwE0CqkOc4q9oUmW1yo/edit?usp=sharing"",""ลำปาง!J87"")"),0)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IFERROR(__xludf.DUMMYFUNCTION("IMPORTRANGE(""https://docs.google.com/spreadsheets/d/11923uPwbBZFjjGgGUA6NLw09EwE0CqkOc4q9oUmW1yo/edit?usp=sharing"",""ลำปาง!J88"")"),0)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IFERROR(__xludf.DUMMYFUNCTION("IMPORTRANGE(""https://docs.google.com/spreadsheets/d/11923uPwbBZFjjGgGUA6NLw09EwE0CqkOc4q9oUmW1yo/edit?usp=sharing"",""ลำปาง!I89"")"),3)</f>
        <v>3</v>
      </c>
      <c r="J164" s="284">
        <f ca="1">IFERROR(__xludf.DUMMYFUNCTION("IMPORTRANGE(""https://docs.google.com/spreadsheets/d/11923uPwbBZFjjGgGUA6NLw09EwE0CqkOc4q9oUmW1yo/edit?usp=sharing"",""ลำปาง!J89"")"),3)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IFERROR(__xludf.DUMMYFUNCTION("IMPORTRANGE(""https://docs.google.com/spreadsheets/d/11923uPwbBZFjjGgGUA6NLw09EwE0CqkOc4q9oUmW1yo/edit?usp=sharing"",""ลำปาง!J94"")"),0)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IFERROR(__xludf.DUMMYFUNCTION("IMPORTRANGE(""https://docs.google.com/spreadsheets/d/11923uPwbBZFjjGgGUA6NLw09EwE0CqkOc4q9oUmW1yo/edit?usp=sharing"",""ลำปาง!J95"")"),1)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IFERROR(__xludf.DUMMYFUNCTION("IMPORTRANGE(""https://docs.google.com/spreadsheets/d/11923uPwbBZFjjGgGUA6NLw09EwE0CqkOc4q9oUmW1yo/edit?usp=sharing"",""ลำปาง!J96"")"),1)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IFERROR(__xludf.DUMMYFUNCTION("IMPORTRANGE(""https://docs.google.com/spreadsheets/d/11923uPwbBZFjjGgGUA6NLw09EwE0CqkOc4q9oUmW1yo/edit?usp=sharing"",""ลำปาง!J97"")"),1)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IFERROR(__xludf.DUMMYFUNCTION("IMPORTRANGE(""https://docs.google.com/spreadsheets/d/11923uPwbBZFjjGgGUA6NLw09EwE0CqkOc4q9oUmW1yo/edit?usp=sharing"",""ลำปาง!I98"")"),3)</f>
        <v>3</v>
      </c>
      <c r="J173" s="188">
        <f ca="1">IFERROR(__xludf.DUMMYFUNCTION("IMPORTRANGE(""https://docs.google.com/spreadsheets/d/11923uPwbBZFjjGgGUA6NLw09EwE0CqkOc4q9oUmW1yo/edit?usp=sharing"",""ลำปาง!J98"")"),3)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IFERROR(__xludf.DUMMYFUNCTION("IMPORTRANGE(""https://docs.google.com/spreadsheets/d/11923uPwbBZFjjGgGUA6NLw09EwE0CqkOc4q9oUmW1yo/edit?usp=sharing"",""ลำปาง!J99"")"),1)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IFERROR(__xludf.DUMMYFUNCTION("IMPORTRANGE(""https://docs.google.com/spreadsheets/d/11923uPwbBZFjjGgGUA6NLw09EwE0CqkOc4q9oUmW1yo/edit?usp=sharing"",""ลำปาง!J100"")"),1)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IFERROR(__xludf.DUMMYFUNCTION("IMPORTRANGE(""https://docs.google.com/spreadsheets/d/11923uPwbBZFjjGgGUA6NLw09EwE0CqkOc4q9oUmW1yo/edit?usp=sharing"",""ลำปาง!I101"")"),0)</f>
        <v>0</v>
      </c>
      <c r="J176" s="284">
        <f ca="1">IFERROR(__xludf.DUMMYFUNCTION("IMPORTRANGE(""https://docs.google.com/spreadsheets/d/11923uPwbBZFjjGgGUA6NLw09EwE0CqkOc4q9oUmW1yo/edit?usp=sharing"",""ลำปาง!J101"")"),0)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IFERROR(__xludf.DUMMYFUNCTION("IMPORTRANGE(""https://docs.google.com/spreadsheets/d/11923uPwbBZFjjGgGUA6NLw09EwE0CqkOc4q9oUmW1yo/edit?usp=sharing"",""ลำปาง!J106"")"),0)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IFERROR(__xludf.DUMMYFUNCTION("IMPORTRANGE(""https://docs.google.com/spreadsheets/d/11923uPwbBZFjjGgGUA6NLw09EwE0CqkOc4q9oUmW1yo/edit?usp=sharing"",""ลำปาง!J107"")"),0)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IFERROR(__xludf.DUMMYFUNCTION("IMPORTRANGE(""https://docs.google.com/spreadsheets/d/11923uPwbBZFjjGgGUA6NLw09EwE0CqkOc4q9oUmW1yo/edit?usp=sharing"",""ลำปาง!J108"")"),0)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IFERROR(__xludf.DUMMYFUNCTION("IMPORTRANGE(""https://docs.google.com/spreadsheets/d/11923uPwbBZFjjGgGUA6NLw09EwE0CqkOc4q9oUmW1yo/edit?usp=sharing"",""ลำปาง!J109"")"),0)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IFERROR(__xludf.DUMMYFUNCTION("IMPORTRANGE(""https://docs.google.com/spreadsheets/d/11923uPwbBZFjjGgGUA6NLw09EwE0CqkOc4q9oUmW1yo/edit?usp=sharing"",""ลำปาง!I110"")"),0)</f>
        <v>0</v>
      </c>
      <c r="J185" s="203">
        <f ca="1">IFERROR(__xludf.DUMMYFUNCTION("IMPORTRANGE(""https://docs.google.com/spreadsheets/d/11923uPwbBZFjjGgGUA6NLw09EwE0CqkOc4q9oUmW1yo/edit?usp=sharing"",""ลำปาง!J110"")"),0)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IFERROR(__xludf.DUMMYFUNCTION("IMPORTRANGE(""https://docs.google.com/spreadsheets/d/11923uPwbBZFjjGgGUA6NLw09EwE0CqkOc4q9oUmW1yo/edit?usp=sharing"",""ลำปาง!I111"")"),0)</f>
        <v>0</v>
      </c>
      <c r="J186" s="203">
        <f ca="1">IFERROR(__xludf.DUMMYFUNCTION("IMPORTRANGE(""https://docs.google.com/spreadsheets/d/11923uPwbBZFjjGgGUA6NLw09EwE0CqkOc4q9oUmW1yo/edit?usp=sharing"",""ลำปาง!J111"")"),0)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IFERROR(__xludf.DUMMYFUNCTION("IMPORTRANGE(""https://docs.google.com/spreadsheets/d/11923uPwbBZFjjGgGUA6NLw09EwE0CqkOc4q9oUmW1yo/edit?usp=sharing"",""ลำปาง!J112"")"),0)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IFERROR(__xludf.DUMMYFUNCTION("IMPORTRANGE(""https://docs.google.com/spreadsheets/d/11923uPwbBZFjjGgGUA6NLw09EwE0CqkOc4q9oUmW1yo/edit?usp=sharing"",""ลำปาง!J113"")"),0)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IFERROR(__xludf.DUMMYFUNCTION("IMPORTRANGE(""https://docs.google.com/spreadsheets/d/11923uPwbBZFjjGgGUA6NLw09EwE0CqkOc4q9oUmW1yo/edit?usp=sharing"",""ลำปาง!I114"")"),50000)</f>
        <v>50000</v>
      </c>
      <c r="J189" s="284">
        <f ca="1">IFERROR(__xludf.DUMMYFUNCTION("IMPORTRANGE(""https://docs.google.com/spreadsheets/d/11923uPwbBZFjjGgGUA6NLw09EwE0CqkOc4q9oUmW1yo/edit?usp=sharing"",""ลำปาง!J114"")"),50000)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IFERROR(__xludf.DUMMYFUNCTION("IMPORTRANGE(""https://docs.google.com/spreadsheets/d/11923uPwbBZFjjGgGUA6NLw09EwE0CqkOc4q9oUmW1yo/edit?usp=sharing"",""ลำปาง!J119"")"),0)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IFERROR(__xludf.DUMMYFUNCTION("IMPORTRANGE(""https://docs.google.com/spreadsheets/d/11923uPwbBZFjjGgGUA6NLw09EwE0CqkOc4q9oUmW1yo/edit?usp=sharing"",""ลำปาง!J120"")"),1)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IFERROR(__xludf.DUMMYFUNCTION("IMPORTRANGE(""https://docs.google.com/spreadsheets/d/11923uPwbBZFjjGgGUA6NLw09EwE0CqkOc4q9oUmW1yo/edit?usp=sharing"",""ลำปาง!J121"")"),0)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IFERROR(__xludf.DUMMYFUNCTION("IMPORTRANGE(""https://docs.google.com/spreadsheets/d/11923uPwbBZFjjGgGUA6NLw09EwE0CqkOc4q9oUmW1yo/edit?usp=sharing"",""ลำปาง!J122"")"),0)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IFERROR(__xludf.DUMMYFUNCTION("IMPORTRANGE(""https://docs.google.com/spreadsheets/d/11923uPwbBZFjjGgGUA6NLw09EwE0CqkOc4q9oUmW1yo/edit?usp=sharing"",""ลำปาง!I124"")"),50000)</f>
        <v>50000</v>
      </c>
      <c r="J199" s="188">
        <f ca="1">IFERROR(__xludf.DUMMYFUNCTION("IMPORTRANGE(""https://docs.google.com/spreadsheets/d/11923uPwbBZFjjGgGUA6NLw09EwE0CqkOc4q9oUmW1yo/edit?usp=sharing"",""ลำปาง!J124"")"),50000)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IFERROR(__xludf.DUMMYFUNCTION("IMPORTRANGE(""https://docs.google.com/spreadsheets/d/11923uPwbBZFjjGgGUA6NLw09EwE0CqkOc4q9oUmW1yo/edit?usp=sharing"",""ลำปาง!I125"")"),50000)</f>
        <v>50000</v>
      </c>
      <c r="J200" s="188">
        <f ca="1">IFERROR(__xludf.DUMMYFUNCTION("IMPORTRANGE(""https://docs.google.com/spreadsheets/d/11923uPwbBZFjjGgGUA6NLw09EwE0CqkOc4q9oUmW1yo/edit?usp=sharing"",""ลำปาง!J125"")"),50000)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IFERROR(__xludf.DUMMYFUNCTION("IMPORTRANGE(""https://docs.google.com/spreadsheets/d/11923uPwbBZFjjGgGUA6NLw09EwE0CqkOc4q9oUmW1yo/edit?usp=sharing"",""ลำปาง!I126"")"),0)</f>
        <v>0</v>
      </c>
      <c r="J201" s="188">
        <f ca="1">IFERROR(__xludf.DUMMYFUNCTION("IMPORTRANGE(""https://docs.google.com/spreadsheets/d/11923uPwbBZFjjGgGUA6NLw09EwE0CqkOc4q9oUmW1yo/edit?usp=sharing"",""ลำปาง!J126"")"),0)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IFERROR(__xludf.DUMMYFUNCTION("IMPORTRANGE(""https://docs.google.com/spreadsheets/d/11923uPwbBZFjjGgGUA6NLw09EwE0CqkOc4q9oUmW1yo/edit?usp=sharing"",""ลำปาง!J127"")"),0)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IFERROR(__xludf.DUMMYFUNCTION("IMPORTRANGE(""https://docs.google.com/spreadsheets/d/11923uPwbBZFjjGgGUA6NLw09EwE0CqkOc4q9oUmW1yo/edit?usp=sharing"",""ลำปาง!J128"")"),0)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IFERROR(__xludf.DUMMYFUNCTION("IMPORTRANGE(""https://docs.google.com/spreadsheets/d/11923uPwbBZFjjGgGUA6NLw09EwE0CqkOc4q9oUmW1yo/edit?usp=sharing"",""ลำปาง!I129"")"),0)</f>
        <v>0</v>
      </c>
      <c r="J204" s="284">
        <f ca="1">IFERROR(__xludf.DUMMYFUNCTION("IMPORTRANGE(""https://docs.google.com/spreadsheets/d/11923uPwbBZFjjGgGUA6NLw09EwE0CqkOc4q9oUmW1yo/edit?usp=sharing"",""ลำปาง!J129"")"),0)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IFERROR(__xludf.DUMMYFUNCTION("IMPORTRANGE(""https://docs.google.com/spreadsheets/d/11923uPwbBZFjjGgGUA6NLw09EwE0CqkOc4q9oUmW1yo/edit?usp=sharing"",""ลำปาง!J134"")"),0)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IFERROR(__xludf.DUMMYFUNCTION("IMPORTRANGE(""https://docs.google.com/spreadsheets/d/11923uPwbBZFjjGgGUA6NLw09EwE0CqkOc4q9oUmW1yo/edit?usp=sharing"",""ลำปาง!J135"")"),0)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IFERROR(__xludf.DUMMYFUNCTION("IMPORTRANGE(""https://docs.google.com/spreadsheets/d/11923uPwbBZFjjGgGUA6NLw09EwE0CqkOc4q9oUmW1yo/edit?usp=sharing"",""ลำปาง!J136"")"),0)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IFERROR(__xludf.DUMMYFUNCTION("IMPORTRANGE(""https://docs.google.com/spreadsheets/d/11923uPwbBZFjjGgGUA6NLw09EwE0CqkOc4q9oUmW1yo/edit?usp=sharing"",""ลำปาง!J137"")"),0)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IFERROR(__xludf.DUMMYFUNCTION("IMPORTRANGE(""https://docs.google.com/spreadsheets/d/11923uPwbBZFjjGgGUA6NLw09EwE0CqkOc4q9oUmW1yo/edit?usp=sharing"",""ลำปาง!I138"")"),0)</f>
        <v>0</v>
      </c>
      <c r="J213" s="203">
        <f ca="1">IFERROR(__xludf.DUMMYFUNCTION("IMPORTRANGE(""https://docs.google.com/spreadsheets/d/11923uPwbBZFjjGgGUA6NLw09EwE0CqkOc4q9oUmW1yo/edit?usp=sharing"",""ลำปาง!J138"")"),0)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IFERROR(__xludf.DUMMYFUNCTION("IMPORTRANGE(""https://docs.google.com/spreadsheets/d/11923uPwbBZFjjGgGUA6NLw09EwE0CqkOc4q9oUmW1yo/edit?usp=sharing"",""ลำปาง!I140"")"),0)</f>
        <v>0</v>
      </c>
      <c r="J215" s="203">
        <f ca="1">IFERROR(__xludf.DUMMYFUNCTION("IMPORTRANGE(""https://docs.google.com/spreadsheets/d/11923uPwbBZFjjGgGUA6NLw09EwE0CqkOc4q9oUmW1yo/edit?usp=sharing"",""ลำปาง!J140"")"),0)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IFERROR(__xludf.DUMMYFUNCTION("IMPORTRANGE(""https://docs.google.com/spreadsheets/d/11923uPwbBZFjjGgGUA6NLw09EwE0CqkOc4q9oUmW1yo/edit?usp=sharing"",""ลำปาง!I141"")"),0)</f>
        <v>0</v>
      </c>
      <c r="J216" s="203">
        <f ca="1">IFERROR(__xludf.DUMMYFUNCTION("IMPORTRANGE(""https://docs.google.com/spreadsheets/d/11923uPwbBZFjjGgGUA6NLw09EwE0CqkOc4q9oUmW1yo/edit?usp=sharing"",""ลำปาง!J141"")"),0)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IFERROR(__xludf.DUMMYFUNCTION("IMPORTRANGE(""https://docs.google.com/spreadsheets/d/11923uPwbBZFjjGgGUA6NLw09EwE0CqkOc4q9oUmW1yo/edit?usp=sharing"",""ลำปาง!J142"")"),0)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IFERROR(__xludf.DUMMYFUNCTION("IMPORTRANGE(""https://docs.google.com/spreadsheets/d/11923uPwbBZFjjGgGUA6NLw09EwE0CqkOc4q9oUmW1yo/edit?usp=sharing"",""ลำปาง!J143"")"),0)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IFERROR(__xludf.DUMMYFUNCTION("IMPORTRANGE(""https://docs.google.com/spreadsheets/d/11923uPwbBZFjjGgGUA6NLw09EwE0CqkOc4q9oUmW1yo/edit?usp=sharing"",""ลำปาง!I144"")"),15)</f>
        <v>15</v>
      </c>
      <c r="J219" s="267">
        <f ca="1">IFERROR(__xludf.DUMMYFUNCTION("IMPORTRANGE(""https://docs.google.com/spreadsheets/d/11923uPwbBZFjjGgGUA6NLw09EwE0CqkOc4q9oUmW1yo/edit?usp=sharing"",""ลำปาง!J144"")"),15)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IFERROR(__xludf.DUMMYFUNCTION("IMPORTRANGE(""https://docs.google.com/spreadsheets/d/1Yj_ptqi66GCucihVvJfMjLAmec39IyEx_6qawtMGysU/edit?usp=sharing"",""สบก!BS32"")"),21125)</f>
        <v>21125</v>
      </c>
      <c r="N224" s="168">
        <f ca="1">IFERROR(__xludf.DUMMYFUNCTION("IMPORTRANGE(""https://docs.google.com/spreadsheets/d/1Yj_ptqi66GCucihVvJfMjLAmec39IyEx_6qawtMGysU/edit?usp=sharing"",""สบก!BT32"")"),21125)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IFERROR(__xludf.DUMMYFUNCTION("IMPORTRANGE(""https://docs.google.com/spreadsheets/d/1Yj_ptqi66GCucihVvJfMjLAmec39IyEx_6qawtMGysU/edit?usp=sharing"",""สบก!BO32"")"),0)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IFERROR(__xludf.DUMMYFUNCTION("IMPORTRANGE(""https://docs.google.com/spreadsheets/d/1Yj_ptqi66GCucihVvJfMjLAmec39IyEx_6qawtMGysU/edit?usp=sharing"",""สบก!BP32"")"),21125)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IFERROR(__xludf.DUMMYFUNCTION("IMPORTRANGE(""https://docs.google.com/spreadsheets/d/1Yj_ptqi66GCucihVvJfMjLAmec39IyEx_6qawtMGysU/edit?usp=sharing"",""สบก!BQ32"")"),0)</f>
        <v>0</v>
      </c>
      <c r="M228" s="50"/>
      <c r="N228" s="50">
        <f ca="1">IFERROR(__xludf.DUMMYFUNCTION("IMPORTRANGE(""https://docs.google.com/spreadsheets/d/1Yj_ptqi66GCucihVvJfMjLAmec39IyEx_6qawtMGysU/edit?usp=sharing"",""สบก!BU32"")"),0)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IFERROR(__xludf.DUMMYFUNCTION("IMPORTRANGE(""https://docs.google.com/spreadsheets/d/11923uPwbBZFjjGgGUA6NLw09EwE0CqkOc4q9oUmW1yo/edit?usp=sharing"",""ลำปาง!I149"")"),15)</f>
        <v>15</v>
      </c>
      <c r="J229" s="267">
        <f ca="1">IFERROR(__xludf.DUMMYFUNCTION("IMPORTRANGE(""https://docs.google.com/spreadsheets/d/11923uPwbBZFjjGgGUA6NLw09EwE0CqkOc4q9oUmW1yo/edit?usp=sharing"",""ลำปาง!J149"")"),15)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IFERROR(__xludf.DUMMYFUNCTION("IMPORTRANGE(""https://docs.google.com/spreadsheets/d/11923uPwbBZFjjGgGUA6NLw09EwE0CqkOc4q9oUmW1yo/edit?usp=sharing"",""ลำปาง!J151"")"),0)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IFERROR(__xludf.DUMMYFUNCTION("IMPORTRANGE(""https://docs.google.com/spreadsheets/d/11923uPwbBZFjjGgGUA6NLw09EwE0CqkOc4q9oUmW1yo/edit?usp=sharing"",""ลำปาง!J152"")"),0)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IFERROR(__xludf.DUMMYFUNCTION("IMPORTRANGE(""https://docs.google.com/spreadsheets/d/11923uPwbBZFjjGgGUA6NLw09EwE0CqkOc4q9oUmW1yo/edit?usp=sharing"",""ลำปาง!J153"")"),1)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IFERROR(__xludf.DUMMYFUNCTION("IMPORTRANGE(""https://docs.google.com/spreadsheets/d/11923uPwbBZFjjGgGUA6NLw09EwE0CqkOc4q9oUmW1yo/edit?usp=sharing"",""ลำปาง!J154"")"),1)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IFERROR(__xludf.DUMMYFUNCTION("IMPORTRANGE(""https://docs.google.com/spreadsheets/d/11923uPwbBZFjjGgGUA6NLw09EwE0CqkOc4q9oUmW1yo/edit?usp=sharing"",""ลำปาง!I155"")"),15)</f>
        <v>15</v>
      </c>
      <c r="J235" s="188">
        <f ca="1">IFERROR(__xludf.DUMMYFUNCTION("IMPORTRANGE(""https://docs.google.com/spreadsheets/d/11923uPwbBZFjjGgGUA6NLw09EwE0CqkOc4q9oUmW1yo/edit?usp=sharing"",""ลำปาง!J155"")"),15)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IFERROR(__xludf.DUMMYFUNCTION("IMPORTRANGE(""https://docs.google.com/spreadsheets/d/11923uPwbBZFjjGgGUA6NLw09EwE0CqkOc4q9oUmW1yo/edit?usp=sharing"",""ลำปาง!J156"")"),1)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IFERROR(__xludf.DUMMYFUNCTION("IMPORTRANGE(""https://docs.google.com/spreadsheets/d/11923uPwbBZFjjGgGUA6NLw09EwE0CqkOc4q9oUmW1yo/edit?usp=sharing"",""ลำปาง!J157"")"),1)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IFERROR(__xludf.DUMMYFUNCTION("IMPORTRANGE(""https://docs.google.com/spreadsheets/d/11923uPwbBZFjjGgGUA6NLw09EwE0CqkOc4q9oUmW1yo/edit?usp=sharing"",""ลำปาง!I158"")"),0)</f>
        <v>0</v>
      </c>
      <c r="J238" s="267">
        <f ca="1">IFERROR(__xludf.DUMMYFUNCTION("IMPORTRANGE(""https://docs.google.com/spreadsheets/d/11923uPwbBZFjjGgGUA6NLw09EwE0CqkOc4q9oUmW1yo/edit?usp=sharing"",""ลำปาง!J158"")"),0)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IFERROR(__xludf.DUMMYFUNCTION("IMPORTRANGE(""https://docs.google.com/spreadsheets/d/11923uPwbBZFjjGgGUA6NLw09EwE0CqkOc4q9oUmW1yo/edit?usp=sharing"",""ลำปาง!J159"")"),"")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IFERROR(__xludf.DUMMYFUNCTION("IMPORTRANGE(""https://docs.google.com/spreadsheets/d/11923uPwbBZFjjGgGUA6NLw09EwE0CqkOc4q9oUmW1yo/edit?usp=sharing"",""ลำปาง!J161"")"),0)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IFERROR(__xludf.DUMMYFUNCTION("IMPORTRANGE(""https://docs.google.com/spreadsheets/d/11923uPwbBZFjjGgGUA6NLw09EwE0CqkOc4q9oUmW1yo/edit?usp=sharing"",""ลำปาง!J162"")"),0)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IFERROR(__xludf.DUMMYFUNCTION("IMPORTRANGE(""https://docs.google.com/spreadsheets/d/11923uPwbBZFjjGgGUA6NLw09EwE0CqkOc4q9oUmW1yo/edit?usp=sharing"",""ลำปาง!J163"")"),0)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IFERROR(__xludf.DUMMYFUNCTION("IMPORTRANGE(""https://docs.google.com/spreadsheets/d/11923uPwbBZFjjGgGUA6NLw09EwE0CqkOc4q9oUmW1yo/edit?usp=sharing"",""ลำปาง!I164"")"),0)</f>
        <v>0</v>
      </c>
      <c r="J244" s="187">
        <f ca="1">IFERROR(__xludf.DUMMYFUNCTION("IMPORTRANGE(""https://docs.google.com/spreadsheets/d/11923uPwbBZFjjGgGUA6NLw09EwE0CqkOc4q9oUmW1yo/edit?usp=sharing"",""ลำปาง!J164"")"),0)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IFERROR(__xludf.DUMMYFUNCTION("IMPORTRANGE(""https://docs.google.com/spreadsheets/d/11923uPwbBZFjjGgGUA6NLw09EwE0CqkOc4q9oUmW1yo/edit?usp=sharing"",""ลำปาง!J165"")"),0)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IFERROR(__xludf.DUMMYFUNCTION("IMPORTRANGE(""https://docs.google.com/spreadsheets/d/11923uPwbBZFjjGgGUA6NLw09EwE0CqkOc4q9oUmW1yo/edit?usp=sharing"",""ลำปาง!J166"")"),0)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IFERROR(__xludf.DUMMYFUNCTION("IMPORTRANGE(""https://docs.google.com/spreadsheets/d/11923uPwbBZFjjGgGUA6NLw09EwE0CqkOc4q9oUmW1yo/edit?usp=sharing"",""ลำปาง!I169"")"),0)</f>
        <v>0</v>
      </c>
      <c r="J249" s="316">
        <f ca="1">IFERROR(__xludf.DUMMYFUNCTION("IMPORTRANGE(""https://docs.google.com/spreadsheets/d/11923uPwbBZFjjGgGUA6NLw09EwE0CqkOc4q9oUmW1yo/edit?usp=sharing"",""ลำปาง!J169"")"),0)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IFERROR(__xludf.DUMMYFUNCTION("IMPORTRANGE(""https://docs.google.com/spreadsheets/d/1Yj_ptqi66GCucihVvJfMjLAmec39IyEx_6qawtMGysU/edit?usp=sharing"",""สบก!CB32"")"),0)</f>
        <v>0</v>
      </c>
      <c r="N254" s="168">
        <f ca="1">IFERROR(__xludf.DUMMYFUNCTION("IMPORTRANGE(""https://docs.google.com/spreadsheets/d/1Yj_ptqi66GCucihVvJfMjLAmec39IyEx_6qawtMGysU/edit?usp=sharing"",""สบก!CC32"")"),0)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IFERROR(__xludf.DUMMYFUNCTION("IMPORTRANGE(""https://docs.google.com/spreadsheets/d/1Yj_ptqi66GCucihVvJfMjLAmec39IyEx_6qawtMGysU/edit?usp=sharing"",""สบก!BX32"")"),0)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IFERROR(__xludf.DUMMYFUNCTION("IMPORTRANGE(""https://docs.google.com/spreadsheets/d/1Yj_ptqi66GCucihVvJfMjLAmec39IyEx_6qawtMGysU/edit?usp=sharing"",""สบก!BY32"")"),0)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IFERROR(__xludf.DUMMYFUNCTION("IMPORTRANGE(""https://docs.google.com/spreadsheets/d/1Yj_ptqi66GCucihVvJfMjLAmec39IyEx_6qawtMGysU/edit?usp=sharing"",""สบก!BZ32"")"),0)</f>
        <v>0</v>
      </c>
      <c r="M258" s="50"/>
      <c r="N258" s="50">
        <f ca="1">IFERROR(__xludf.DUMMYFUNCTION("IMPORTRANGE(""https://docs.google.com/spreadsheets/d/1Yj_ptqi66GCucihVvJfMjLAmec39IyEx_6qawtMGysU/edit?usp=sharing"",""สบก!CD32"")"),0)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IFERROR(__xludf.DUMMYFUNCTION("IMPORTRANGE(""https://docs.google.com/spreadsheets/d/11923uPwbBZFjjGgGUA6NLw09EwE0CqkOc4q9oUmW1yo/edit?usp=sharing"",""ลำปาง!J175"")"),0)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IFERROR(__xludf.DUMMYFUNCTION("IMPORTRANGE(""https://docs.google.com/spreadsheets/d/11923uPwbBZFjjGgGUA6NLw09EwE0CqkOc4q9oUmW1yo/edit?usp=sharing"",""ลำปาง!J176"")"),0)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IFERROR(__xludf.DUMMYFUNCTION("IMPORTRANGE(""https://docs.google.com/spreadsheets/d/11923uPwbBZFjjGgGUA6NLw09EwE0CqkOc4q9oUmW1yo/edit?usp=sharing"",""ลำปาง!J177"")"),0)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IFERROR(__xludf.DUMMYFUNCTION("IMPORTRANGE(""https://docs.google.com/spreadsheets/d/11923uPwbBZFjjGgGUA6NLw09EwE0CqkOc4q9oUmW1yo/edit?usp=sharing"",""ลำปาง!J178"")"),0)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IFERROR(__xludf.DUMMYFUNCTION("IMPORTRANGE(""https://docs.google.com/spreadsheets/d/11923uPwbBZFjjGgGUA6NLw09EwE0CqkOc4q9oUmW1yo/edit?usp=sharing"",""ลำปาง!I179"")"),0)</f>
        <v>0</v>
      </c>
      <c r="J264" s="188">
        <f ca="1">IFERROR(__xludf.DUMMYFUNCTION("IMPORTRANGE(""https://docs.google.com/spreadsheets/d/11923uPwbBZFjjGgGUA6NLw09EwE0CqkOc4q9oUmW1yo/edit?usp=sharing"",""ลำปาง!J179"")"),0)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IFERROR(__xludf.DUMMYFUNCTION("IMPORTRANGE(""https://docs.google.com/spreadsheets/d/11923uPwbBZFjjGgGUA6NLw09EwE0CqkOc4q9oUmW1yo/edit?usp=sharing"",""ลำปาง!I180"")"),0)</f>
        <v>0</v>
      </c>
      <c r="J265" s="188">
        <f ca="1">IFERROR(__xludf.DUMMYFUNCTION("IMPORTRANGE(""https://docs.google.com/spreadsheets/d/11923uPwbBZFjjGgGUA6NLw09EwE0CqkOc4q9oUmW1yo/edit?usp=sharing"",""ลำปาง!J180"")"),0)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IFERROR(__xludf.DUMMYFUNCTION("IMPORTRANGE(""https://docs.google.com/spreadsheets/d/11923uPwbBZFjjGgGUA6NLw09EwE0CqkOc4q9oUmW1yo/edit?usp=sharing"",""ลำปาง!I181"")"),0)</f>
        <v>0</v>
      </c>
      <c r="J266" s="188">
        <f ca="1">IFERROR(__xludf.DUMMYFUNCTION("IMPORTRANGE(""https://docs.google.com/spreadsheets/d/11923uPwbBZFjjGgGUA6NLw09EwE0CqkOc4q9oUmW1yo/edit?usp=sharing"",""ลำปาง!J181"")"),0)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IFERROR(__xludf.DUMMYFUNCTION("IMPORTRANGE(""https://docs.google.com/spreadsheets/d/11923uPwbBZFjjGgGUA6NLw09EwE0CqkOc4q9oUmW1yo/edit?usp=sharing"",""ลำปาง!I182"")"),0)</f>
        <v>0</v>
      </c>
      <c r="J267" s="188">
        <f ca="1">IFERROR(__xludf.DUMMYFUNCTION("IMPORTRANGE(""https://docs.google.com/spreadsheets/d/11923uPwbBZFjjGgGUA6NLw09EwE0CqkOc4q9oUmW1yo/edit?usp=sharing"",""ลำปาง!J182"")"),0)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IFERROR(__xludf.DUMMYFUNCTION("IMPORTRANGE(""https://docs.google.com/spreadsheets/d/11923uPwbBZFjjGgGUA6NLw09EwE0CqkOc4q9oUmW1yo/edit?usp=sharing"",""ลำปาง!J183"")"),0)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IFERROR(__xludf.DUMMYFUNCTION("IMPORTRANGE(""https://docs.google.com/spreadsheets/d/11923uPwbBZFjjGgGUA6NLw09EwE0CqkOc4q9oUmW1yo/edit?usp=sharing"",""ลำปาง!J184"")"),0)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IFERROR(__xludf.DUMMYFUNCTION("IMPORTRANGE(""https://docs.google.com/spreadsheets/d/11923uPwbBZFjjGgGUA6NLw09EwE0CqkOc4q9oUmW1yo/edit?usp=sharing"",""ลำปาง!I185"")"),15)</f>
        <v>15</v>
      </c>
      <c r="J270" s="316">
        <f ca="1">IFERROR(__xludf.DUMMYFUNCTION("IMPORTRANGE(""https://docs.google.com/spreadsheets/d/11923uPwbBZFjjGgGUA6NLw09EwE0CqkOc4q9oUmW1yo/edit?usp=sharing"",""ลำปาง!J185"")"),15)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187200</v>
      </c>
      <c r="N271" s="152">
        <f t="shared" ca="1" si="83"/>
        <v>122983.67</v>
      </c>
      <c r="O271" s="151">
        <f t="shared" ref="O271:O273" ca="1" si="84">IF(L271&gt;0,N271*100/L271,0)</f>
        <v>65.696404914529921</v>
      </c>
      <c r="P271" s="151">
        <f t="shared" ref="P271:P273" ca="1" si="85">IF(M271&gt;0,N271*100/M271,0)</f>
        <v>65.696404914529921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187200</v>
      </c>
      <c r="N273" s="88">
        <f t="shared" ca="1" si="87"/>
        <v>122983.67</v>
      </c>
      <c r="O273" s="156">
        <f t="shared" ca="1" si="84"/>
        <v>65.696404914529921</v>
      </c>
      <c r="P273" s="156">
        <f t="shared" ca="1" si="85"/>
        <v>65.696404914529921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IFERROR(__xludf.DUMMYFUNCTION("IMPORTRANGE(""https://docs.google.com/spreadsheets/d/1Yj_ptqi66GCucihVvJfMjLAmec39IyEx_6qawtMGysU/edit?usp=sharing"",""สบก!CK32"")"),187200)</f>
        <v>187200</v>
      </c>
      <c r="N275" s="168">
        <f ca="1">IFERROR(__xludf.DUMMYFUNCTION("IMPORTRANGE(""https://docs.google.com/spreadsheets/d/1Yj_ptqi66GCucihVvJfMjLAmec39IyEx_6qawtMGysU/edit?usp=sharing"",""สบก!CL32"")"),122983.67)</f>
        <v>122983.67</v>
      </c>
      <c r="O275" s="168">
        <f ca="1">IF(L275&gt;0,N275*100/L275,0)</f>
        <v>65.696404914529921</v>
      </c>
      <c r="P275" s="168">
        <f ca="1">IF(M275&gt;0,N275*100/M275,0)</f>
        <v>65.696404914529921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IFERROR(__xludf.DUMMYFUNCTION("IMPORTRANGE(""https://docs.google.com/spreadsheets/d/1Yj_ptqi66GCucihVvJfMjLAmec39IyEx_6qawtMGysU/edit?usp=sharing"",""สบก!CG32"")"),132000)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IFERROR(__xludf.DUMMYFUNCTION("IMPORTRANGE(""https://docs.google.com/spreadsheets/d/1Yj_ptqi66GCucihVvJfMjLAmec39IyEx_6qawtMGysU/edit?usp=sharing"",""สบก!CH32"")"),55200)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IFERROR(__xludf.DUMMYFUNCTION("IMPORTRANGE(""https://docs.google.com/spreadsheets/d/1Yj_ptqi66GCucihVvJfMjLAmec39IyEx_6qawtMGysU/edit?usp=sharing"",""สบก!CI32"")"),0)</f>
        <v>0</v>
      </c>
      <c r="M279" s="50"/>
      <c r="N279" s="50">
        <f ca="1">IFERROR(__xludf.DUMMYFUNCTION("IMPORTRANGE(""https://docs.google.com/spreadsheets/d/1Yj_ptqi66GCucihVvJfMjLAmec39IyEx_6qawtMGysU/edit?usp=sharing"",""สบก!CM32"")"),0)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IFERROR(__xludf.DUMMYFUNCTION("IMPORTRANGE(""https://docs.google.com/spreadsheets/d/11923uPwbBZFjjGgGUA6NLw09EwE0CqkOc4q9oUmW1yo/edit?usp=sharing"",""ลำปาง!J191"")"),0)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IFERROR(__xludf.DUMMYFUNCTION("IMPORTRANGE(""https://docs.google.com/spreadsheets/d/11923uPwbBZFjjGgGUA6NLw09EwE0CqkOc4q9oUmW1yo/edit?usp=sharing"",""ลำปาง!J192"")"),1)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IFERROR(__xludf.DUMMYFUNCTION("IMPORTRANGE(""https://docs.google.com/spreadsheets/d/11923uPwbBZFjjGgGUA6NLw09EwE0CqkOc4q9oUmW1yo/edit?usp=sharing"",""ลำปาง!J193"")"),1)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IFERROR(__xludf.DUMMYFUNCTION("IMPORTRANGE(""https://docs.google.com/spreadsheets/d/11923uPwbBZFjjGgGUA6NLw09EwE0CqkOc4q9oUmW1yo/edit?usp=sharing"",""ลำปาง!J194"")"),1)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IFERROR(__xludf.DUMMYFUNCTION("IMPORTRANGE(""https://docs.google.com/spreadsheets/d/11923uPwbBZFjjGgGUA6NLw09EwE0CqkOc4q9oUmW1yo/edit?usp=sharing"",""ลำปาง!I195"")"),15)</f>
        <v>15</v>
      </c>
      <c r="J285" s="188">
        <f ca="1">IFERROR(__xludf.DUMMYFUNCTION("IMPORTRANGE(""https://docs.google.com/spreadsheets/d/11923uPwbBZFjjGgGUA6NLw09EwE0CqkOc4q9oUmW1yo/edit?usp=sharing"",""ลำปาง!J195"")"),15)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IFERROR(__xludf.DUMMYFUNCTION("IMPORTRANGE(""https://docs.google.com/spreadsheets/d/11923uPwbBZFjjGgGUA6NLw09EwE0CqkOc4q9oUmW1yo/edit?usp=sharing"",""ลำปาง!J196"")"),0)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IFERROR(__xludf.DUMMYFUNCTION("IMPORTRANGE(""https://docs.google.com/spreadsheets/d/11923uPwbBZFjjGgGUA6NLw09EwE0CqkOc4q9oUmW1yo/edit?usp=sharing"",""ลำปาง!J197"")"),0)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IFERROR(__xludf.DUMMYFUNCTION("IMPORTRANGE(""https://docs.google.com/spreadsheets/d/11923uPwbBZFjjGgGUA6NLw09EwE0CqkOc4q9oUmW1yo/edit?usp=sharing"",""ลำปาง!I199"")"),0)</f>
        <v>0</v>
      </c>
      <c r="J289" s="316">
        <f ca="1">IFERROR(__xludf.DUMMYFUNCTION("IMPORTRANGE(""https://docs.google.com/spreadsheets/d/11923uPwbBZFjjGgGUA6NLw09EwE0CqkOc4q9oUmW1yo/edit?usp=sharing"",""ลำปาง!J199"")"),0)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IFERROR(__xludf.DUMMYFUNCTION("IMPORTRANGE(""https://docs.google.com/spreadsheets/d/1Yj_ptqi66GCucihVvJfMjLAmec39IyEx_6qawtMGysU/edit?usp=sharing"",""สบก!CT32"")"),0)</f>
        <v>0</v>
      </c>
      <c r="N294" s="168">
        <f ca="1">IFERROR(__xludf.DUMMYFUNCTION("IMPORTRANGE(""https://docs.google.com/spreadsheets/d/1Yj_ptqi66GCucihVvJfMjLAmec39IyEx_6qawtMGysU/edit?usp=sharing"",""สบก!CU32"")"),0)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IFERROR(__xludf.DUMMYFUNCTION("IMPORTRANGE(""https://docs.google.com/spreadsheets/d/1Yj_ptqi66GCucihVvJfMjLAmec39IyEx_6qawtMGysU/edit?usp=sharing"",""สบก!CP32"")"),0)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IFERROR(__xludf.DUMMYFUNCTION("IMPORTRANGE(""https://docs.google.com/spreadsheets/d/1Yj_ptqi66GCucihVvJfMjLAmec39IyEx_6qawtMGysU/edit?usp=sharing"",""สบก!CQ32"")"),0)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IFERROR(__xludf.DUMMYFUNCTION("IMPORTRANGE(""https://docs.google.com/spreadsheets/d/1Yj_ptqi66GCucihVvJfMjLAmec39IyEx_6qawtMGysU/edit?usp=sharing"",""สบก!CR32"")"),0)</f>
        <v>0</v>
      </c>
      <c r="M298" s="50"/>
      <c r="N298" s="50">
        <f ca="1">IFERROR(__xludf.DUMMYFUNCTION("IMPORTRANGE(""https://docs.google.com/spreadsheets/d/1Yj_ptqi66GCucihVvJfMjLAmec39IyEx_6qawtMGysU/edit?usp=sharing"",""สบก!CV32"")"),0)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IFERROR(__xludf.DUMMYFUNCTION("IMPORTRANGE(""https://docs.google.com/spreadsheets/d/11923uPwbBZFjjGgGUA6NLw09EwE0CqkOc4q9oUmW1yo/edit?usp=sharing"",""ลำปาง!J205"")"),0)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IFERROR(__xludf.DUMMYFUNCTION("IMPORTRANGE(""https://docs.google.com/spreadsheets/d/11923uPwbBZFjjGgGUA6NLw09EwE0CqkOc4q9oUmW1yo/edit?usp=sharing"",""ลำปาง!J206"")"),0)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IFERROR(__xludf.DUMMYFUNCTION("IMPORTRANGE(""https://docs.google.com/spreadsheets/d/11923uPwbBZFjjGgGUA6NLw09EwE0CqkOc4q9oUmW1yo/edit?usp=sharing"",""ลำปาง!J207"")"),0)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IFERROR(__xludf.DUMMYFUNCTION("IMPORTRANGE(""https://docs.google.com/spreadsheets/d/11923uPwbBZFjjGgGUA6NLw09EwE0CqkOc4q9oUmW1yo/edit?usp=sharing"",""ลำปาง!J208"")"),0)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IFERROR(__xludf.DUMMYFUNCTION("IMPORTRANGE(""https://docs.google.com/spreadsheets/d/11923uPwbBZFjjGgGUA6NLw09EwE0CqkOc4q9oUmW1yo/edit?usp=sharing"",""ลำปาง!I209"")"),0)</f>
        <v>0</v>
      </c>
      <c r="J304" s="203">
        <f ca="1">IFERROR(__xludf.DUMMYFUNCTION("IMPORTRANGE(""https://docs.google.com/spreadsheets/d/11923uPwbBZFjjGgGUA6NLw09EwE0CqkOc4q9oUmW1yo/edit?usp=sharing"",""ลำปาง!J209"")"),0)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IFERROR(__xludf.DUMMYFUNCTION("IMPORTRANGE(""https://docs.google.com/spreadsheets/d/11923uPwbBZFjjGgGUA6NLw09EwE0CqkOc4q9oUmW1yo/edit?usp=sharing"",""ลำปาง!I211"")"),0)</f>
        <v>0</v>
      </c>
      <c r="J306" s="203">
        <f ca="1">IFERROR(__xludf.DUMMYFUNCTION("IMPORTRANGE(""https://docs.google.com/spreadsheets/d/11923uPwbBZFjjGgGUA6NLw09EwE0CqkOc4q9oUmW1yo/edit?usp=sharing"",""ลำปาง!J211"")"),0)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IFERROR(__xludf.DUMMYFUNCTION("IMPORTRANGE(""https://docs.google.com/spreadsheets/d/11923uPwbBZFjjGgGUA6NLw09EwE0CqkOc4q9oUmW1yo/edit?usp=sharing"",""ลำปาง!J212"")"),0)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IFERROR(__xludf.DUMMYFUNCTION("IMPORTRANGE(""https://docs.google.com/spreadsheets/d/11923uPwbBZFjjGgGUA6NLw09EwE0CqkOc4q9oUmW1yo/edit?usp=sharing"",""ลำปาง!J213"")"),0)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IFERROR(__xludf.DUMMYFUNCTION("IMPORTRANGE(""https://docs.google.com/spreadsheets/d/11923uPwbBZFjjGgGUA6NLw09EwE0CqkOc4q9oUmW1yo/edit?usp=sharing"",""ลำปาง!I214"")"),0)</f>
        <v>0</v>
      </c>
      <c r="J309" s="333">
        <f ca="1">IFERROR(__xludf.DUMMYFUNCTION("IMPORTRANGE(""https://docs.google.com/spreadsheets/d/11923uPwbBZFjjGgGUA6NLw09EwE0CqkOc4q9oUmW1yo/edit?usp=sharing"",""ลำปาง!J214"")"),0)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IFERROR(__xludf.DUMMYFUNCTION("IMPORTRANGE(""https://docs.google.com/spreadsheets/d/1Yj_ptqi66GCucihVvJfMjLAmec39IyEx_6qawtMGysU/edit?usp=sharing"",""สบก!DC32"")"),0)</f>
        <v>0</v>
      </c>
      <c r="N314" s="168">
        <f ca="1">IFERROR(__xludf.DUMMYFUNCTION("IMPORTRANGE(""https://docs.google.com/spreadsheets/d/1Yj_ptqi66GCucihVvJfMjLAmec39IyEx_6qawtMGysU/edit?usp=sharing"",""สบก!DD32"")"),0)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IFERROR(__xludf.DUMMYFUNCTION("IMPORTRANGE(""https://docs.google.com/spreadsheets/d/1Yj_ptqi66GCucihVvJfMjLAmec39IyEx_6qawtMGysU/edit?usp=sharing"",""สบก!CY32"")"),0)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IFERROR(__xludf.DUMMYFUNCTION("IMPORTRANGE(""https://docs.google.com/spreadsheets/d/1Yj_ptqi66GCucihVvJfMjLAmec39IyEx_6qawtMGysU/edit?usp=sharing"",""สบก!CZ32"")"),0)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IFERROR(__xludf.DUMMYFUNCTION("IMPORTRANGE(""https://docs.google.com/spreadsheets/d/1Yj_ptqi66GCucihVvJfMjLAmec39IyEx_6qawtMGysU/edit?usp=sharing"",""สบก!DA32"")"),0)</f>
        <v>0</v>
      </c>
      <c r="M318" s="50"/>
      <c r="N318" s="50">
        <f ca="1">IFERROR(__xludf.DUMMYFUNCTION("IMPORTRANGE(""https://docs.google.com/spreadsheets/d/1Yj_ptqi66GCucihVvJfMjLAmec39IyEx_6qawtMGysU/edit?usp=sharing"",""สบก!DE32"")"),0)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IFERROR(__xludf.DUMMYFUNCTION("IMPORTRANGE(""https://docs.google.com/spreadsheets/d/11923uPwbBZFjjGgGUA6NLw09EwE0CqkOc4q9oUmW1yo/edit?usp=sharing"",""ลำปาง!J220"")"),0)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IFERROR(__xludf.DUMMYFUNCTION("IMPORTRANGE(""https://docs.google.com/spreadsheets/d/11923uPwbBZFjjGgGUA6NLw09EwE0CqkOc4q9oUmW1yo/edit?usp=sharing"",""ลำปาง!J221"")"),0)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IFERROR(__xludf.DUMMYFUNCTION("IMPORTRANGE(""https://docs.google.com/spreadsheets/d/11923uPwbBZFjjGgGUA6NLw09EwE0CqkOc4q9oUmW1yo/edit?usp=sharing"",""ลำปาง!J222"")"),0)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IFERROR(__xludf.DUMMYFUNCTION("IMPORTRANGE(""https://docs.google.com/spreadsheets/d/11923uPwbBZFjjGgGUA6NLw09EwE0CqkOc4q9oUmW1yo/edit?usp=sharing"",""ลำปาง!J223"")"),0)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IFERROR(__xludf.DUMMYFUNCTION("IMPORTRANGE(""https://docs.google.com/spreadsheets/d/11923uPwbBZFjjGgGUA6NLw09EwE0CqkOc4q9oUmW1yo/edit?usp=sharing"",""ลำปาง!I224"")"),0)</f>
        <v>0</v>
      </c>
      <c r="J324" s="203">
        <f ca="1">IFERROR(__xludf.DUMMYFUNCTION("IMPORTRANGE(""https://docs.google.com/spreadsheets/d/11923uPwbBZFjjGgGUA6NLw09EwE0CqkOc4q9oUmW1yo/edit?usp=sharing"",""ลำปาง!J224"")"),0)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IFERROR(__xludf.DUMMYFUNCTION("IMPORTRANGE(""https://docs.google.com/spreadsheets/d/11923uPwbBZFjjGgGUA6NLw09EwE0CqkOc4q9oUmW1yo/edit?usp=sharing"",""ลำปาง!J225"")"),0)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IFERROR(__xludf.DUMMYFUNCTION("IMPORTRANGE(""https://docs.google.com/spreadsheets/d/11923uPwbBZFjjGgGUA6NLw09EwE0CqkOc4q9oUmW1yo/edit?usp=sharing"",""ลำปาง!J226"")"),0)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IFERROR(__xludf.DUMMYFUNCTION("IMPORTRANGE(""https://docs.google.com/spreadsheets/d/11923uPwbBZFjjGgGUA6NLw09EwE0CqkOc4q9oUmW1yo/edit?usp=sharing"",""ลำปาง!I228"")"),400)</f>
        <v>400</v>
      </c>
      <c r="J328" s="339">
        <f ca="1">IFERROR(__xludf.DUMMYFUNCTION("IMPORTRANGE(""https://docs.google.com/spreadsheets/d/11923uPwbBZFjjGgGUA6NLw09EwE0CqkOc4q9oUmW1yo/edit?usp=sharing"",""ลำปาง!J228"")"),284)</f>
        <v>284</v>
      </c>
      <c r="K328" s="317">
        <f ca="1">IF(I328&gt;0,J328*100/I328,0)</f>
        <v>71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1017600</v>
      </c>
      <c r="M329" s="152">
        <f t="shared" ca="1" si="98"/>
        <v>1060800</v>
      </c>
      <c r="N329" s="152">
        <f t="shared" ca="1" si="98"/>
        <v>810687.39</v>
      </c>
      <c r="O329" s="151">
        <f t="shared" ref="O329:O331" ca="1" si="99">IF(L329&gt;0,N329*100/L329,0)</f>
        <v>79.666606721698116</v>
      </c>
      <c r="P329" s="151">
        <f t="shared" ref="P329:P331" ca="1" si="100">IF(M329&gt;0,N329*100/M329,0)</f>
        <v>76.422265271493217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1017600</v>
      </c>
      <c r="M331" s="88">
        <f t="shared" ca="1" si="102"/>
        <v>1060800</v>
      </c>
      <c r="N331" s="88">
        <f t="shared" ca="1" si="102"/>
        <v>810687.39</v>
      </c>
      <c r="O331" s="156">
        <f t="shared" ca="1" si="99"/>
        <v>79.666606721698116</v>
      </c>
      <c r="P331" s="156">
        <f t="shared" ca="1" si="100"/>
        <v>76.422265271493217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897600</v>
      </c>
      <c r="M333" s="167">
        <f ca="1">IFERROR(__xludf.DUMMYFUNCTION("IMPORTRANGE(""https://docs.google.com/spreadsheets/d/1Yj_ptqi66GCucihVvJfMjLAmec39IyEx_6qawtMGysU/edit?usp=sharing"",""สบก!DL32"")"),940800)</f>
        <v>940800</v>
      </c>
      <c r="N333" s="168">
        <f ca="1">IFERROR(__xludf.DUMMYFUNCTION("IMPORTRANGE(""https://docs.google.com/spreadsheets/d/1Yj_ptqi66GCucihVvJfMjLAmec39IyEx_6qawtMGysU/edit?usp=sharing"",""สบก!DM32"")"),690687.39)</f>
        <v>690687.39</v>
      </c>
      <c r="O333" s="168">
        <f ca="1">IF(L333&gt;0,N333*100/L333,0)</f>
        <v>76.948238636363641</v>
      </c>
      <c r="P333" s="168">
        <f ca="1">IF(M333&gt;0,N333*100/M333,0)</f>
        <v>73.414901147959185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IFERROR(__xludf.DUMMYFUNCTION("IMPORTRANGE(""https://docs.google.com/spreadsheets/d/1Yj_ptqi66GCucihVvJfMjLAmec39IyEx_6qawtMGysU/edit?usp=sharing"",""สบก!DH32"")"),491200)</f>
        <v>491200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IFERROR(__xludf.DUMMYFUNCTION("IMPORTRANGE(""https://docs.google.com/spreadsheets/d/1Yj_ptqi66GCucihVvJfMjLAmec39IyEx_6qawtMGysU/edit?usp=sharing"",""สบก!DI32"")"),406400)</f>
        <v>406400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IFERROR(__xludf.DUMMYFUNCTION("IMPORTRANGE(""https://docs.google.com/spreadsheets/d/1Yj_ptqi66GCucihVvJfMjLAmec39IyEx_6qawtMGysU/edit?usp=sharing"",""สบก!DJ32"")"),120000)</f>
        <v>120000</v>
      </c>
      <c r="M337" s="50">
        <f ca="1">L337</f>
        <v>120000</v>
      </c>
      <c r="N337" s="50">
        <f ca="1">IFERROR(__xludf.DUMMYFUNCTION("IMPORTRANGE(""https://docs.google.com/spreadsheets/d/1Yj_ptqi66GCucihVvJfMjLAmec39IyEx_6qawtMGysU/edit?usp=sharing"",""สบก!DN32"")"),120000)</f>
        <v>120000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IFERROR(__xludf.DUMMYFUNCTION("IMPORTRANGE(""https://docs.google.com/spreadsheets/d/11923uPwbBZFjjGgGUA6NLw09EwE0CqkOc4q9oUmW1yo/edit?usp=sharing"",""ลำปาง!I234"")"),0)</f>
        <v>0</v>
      </c>
      <c r="J339" s="187">
        <f ca="1">IFERROR(__xludf.DUMMYFUNCTION("IMPORTRANGE(""https://docs.google.com/spreadsheets/d/11923uPwbBZFjjGgGUA6NLw09EwE0CqkOc4q9oUmW1yo/edit?usp=sharing"",""ลำปาง!J234"")"),313)</f>
        <v>313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IFERROR(__xludf.DUMMYFUNCTION("IMPORTRANGE(""https://docs.google.com/spreadsheets/d/11923uPwbBZFjjGgGUA6NLw09EwE0CqkOc4q9oUmW1yo/edit?usp=sharing"",""ลำปาง!I235"")"),1700)</f>
        <v>1700</v>
      </c>
      <c r="J340" s="187">
        <f ca="1">IFERROR(__xludf.DUMMYFUNCTION("IMPORTRANGE(""https://docs.google.com/spreadsheets/d/11923uPwbBZFjjGgGUA6NLw09EwE0CqkOc4q9oUmW1yo/edit?usp=sharing"",""ลำปาง!J235"")"),1662.90999999999)</f>
        <v>1662.9099999999901</v>
      </c>
      <c r="K340" s="342">
        <f t="shared" ca="1" si="103"/>
        <v>97.818235294117059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IFERROR(__xludf.DUMMYFUNCTION("IMPORTRANGE(""https://docs.google.com/spreadsheets/d/11923uPwbBZFjjGgGUA6NLw09EwE0CqkOc4q9oUmW1yo/edit?usp=sharing"",""ลำปาง!I236"")"),400)</f>
        <v>400</v>
      </c>
      <c r="J341" s="187">
        <f ca="1">IFERROR(__xludf.DUMMYFUNCTION("IMPORTRANGE(""https://docs.google.com/spreadsheets/d/11923uPwbBZFjjGgGUA6NLw09EwE0CqkOc4q9oUmW1yo/edit?usp=sharing"",""ลำปาง!J236"")"),453)</f>
        <v>453</v>
      </c>
      <c r="K341" s="342">
        <f t="shared" ca="1" si="103"/>
        <v>113.25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IFERROR(__xludf.DUMMYFUNCTION("IMPORTRANGE(""https://docs.google.com/spreadsheets/d/11923uPwbBZFjjGgGUA6NLw09EwE0CqkOc4q9oUmW1yo/edit?usp=sharing"",""ลำปาง!I237"")"),0)</f>
        <v>0</v>
      </c>
      <c r="J342" s="187">
        <f ca="1">IFERROR(__xludf.DUMMYFUNCTION("IMPORTRANGE(""https://docs.google.com/spreadsheets/d/11923uPwbBZFjjGgGUA6NLw09EwE0CqkOc4q9oUmW1yo/edit?usp=sharing"",""ลำปาง!J237"")"),2730.21)</f>
        <v>2730.21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IFERROR(__xludf.DUMMYFUNCTION("IMPORTRANGE(""https://docs.google.com/spreadsheets/d/11923uPwbBZFjjGgGUA6NLw09EwE0CqkOc4q9oUmW1yo/edit?usp=sharing"",""ลำปาง!I238"")"),400)</f>
        <v>400</v>
      </c>
      <c r="J343" s="187">
        <f ca="1">IFERROR(__xludf.DUMMYFUNCTION("IMPORTRANGE(""https://docs.google.com/spreadsheets/d/11923uPwbBZFjjGgGUA6NLw09EwE0CqkOc4q9oUmW1yo/edit?usp=sharing"",""ลำปาง!J238"")"),0)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IFERROR(__xludf.DUMMYFUNCTION("IMPORTRANGE(""https://docs.google.com/spreadsheets/d/11923uPwbBZFjjGgGUA6NLw09EwE0CqkOc4q9oUmW1yo/edit?usp=sharing"",""ลำปาง!I239"")"),0)</f>
        <v>0</v>
      </c>
      <c r="J344" s="187">
        <f ca="1">IFERROR(__xludf.DUMMYFUNCTION("IMPORTRANGE(""https://docs.google.com/spreadsheets/d/11923uPwbBZFjjGgGUA6NLw09EwE0CqkOc4q9oUmW1yo/edit?usp=sharing"",""ลำปาง!J239"")"),0)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IFERROR(__xludf.DUMMYFUNCTION("IMPORTRANGE(""https://docs.google.com/spreadsheets/d/11923uPwbBZFjjGgGUA6NLw09EwE0CqkOc4q9oUmW1yo/edit?usp=sharing"",""ลำปาง!I240"")"),400)</f>
        <v>400</v>
      </c>
      <c r="J345" s="187">
        <f ca="1">IFERROR(__xludf.DUMMYFUNCTION("IMPORTRANGE(""https://docs.google.com/spreadsheets/d/11923uPwbBZFjjGgGUA6NLw09EwE0CqkOc4q9oUmW1yo/edit?usp=sharing"",""ลำปาง!J240"")"),284)</f>
        <v>284</v>
      </c>
      <c r="K345" s="342">
        <f t="shared" ca="1" si="103"/>
        <v>71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IFERROR(__xludf.DUMMYFUNCTION("IMPORTRANGE(""https://docs.google.com/spreadsheets/d/11923uPwbBZFjjGgGUA6NLw09EwE0CqkOc4q9oUmW1yo/edit?usp=sharing"",""ลำปาง!I241"")"),0)</f>
        <v>0</v>
      </c>
      <c r="J346" s="187">
        <f ca="1">IFERROR(__xludf.DUMMYFUNCTION("IMPORTRANGE(""https://docs.google.com/spreadsheets/d/11923uPwbBZFjjGgGUA6NLw09EwE0CqkOc4q9oUmW1yo/edit?usp=sharing"",""ลำปาง!J241"")"),1643.08)</f>
        <v>1643.08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IFERROR(__xludf.DUMMYFUNCTION("IMPORTRANGE(""https://docs.google.com/spreadsheets/d/11923uPwbBZFjjGgGUA6NLw09EwE0CqkOc4q9oUmW1yo/edit?usp=sharing"",""ลำปาง!L242"")"),2647435)</f>
        <v>2647435</v>
      </c>
      <c r="M347" s="357"/>
      <c r="N347" s="357">
        <f ca="1">IFERROR(__xludf.DUMMYFUNCTION("IMPORTRANGE(""https://docs.google.com/spreadsheets/d/11923uPwbBZFjjGgGUA6NLw09EwE0CqkOc4q9oUmW1yo/edit?usp=sharing"",""ลำปาง!M242"")"),1186551.63)</f>
        <v>1186551.6299999999</v>
      </c>
      <c r="O347" s="357">
        <f ca="1">+IF(L347&gt;0,N347*100/L347,0)</f>
        <v>44.818914534256734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IFERROR(__xludf.DUMMYFUNCTION("IMPORTRANGE(""https://docs.google.com/spreadsheets/d/11923uPwbBZFjjGgGUA6NLw09EwE0CqkOc4q9oUmW1yo/edit?usp=sharing"",""ลำปาง!I244"")"),50)</f>
        <v>50</v>
      </c>
      <c r="J349" s="370">
        <f ca="1">IFERROR(__xludf.DUMMYFUNCTION("IMPORTRANGE(""https://docs.google.com/spreadsheets/d/11923uPwbBZFjjGgGUA6NLw09EwE0CqkOc4q9oUmW1yo/edit?usp=sharing"",""ลำปาง!J244"")"),50)</f>
        <v>50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IFERROR(__xludf.DUMMYFUNCTION("IMPORTRANGE(""https://docs.google.com/spreadsheets/d/11923uPwbBZFjjGgGUA6NLw09EwE0CqkOc4q9oUmW1yo/edit?usp=sharing"",""ลำปาง!L244"")"),230720)</f>
        <v>230720</v>
      </c>
      <c r="M349" s="372"/>
      <c r="N349" s="372">
        <f ca="1">IFERROR(__xludf.DUMMYFUNCTION("IMPORTRANGE(""https://docs.google.com/spreadsheets/d/11923uPwbBZFjjGgGUA6NLw09EwE0CqkOc4q9oUmW1yo/edit?usp=sharing"",""ลำปาง!M244"")"),156023.4)</f>
        <v>156023.4</v>
      </c>
      <c r="O349" s="372">
        <f ca="1">+IF(L349&gt;0,N349*100/L349,0)</f>
        <v>67.62456657420249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IFERROR(__xludf.DUMMYFUNCTION("IMPORTRANGE(""https://docs.google.com/spreadsheets/d/11923uPwbBZFjjGgGUA6NLw09EwE0CqkOc4q9oUmW1yo/edit?usp=sharing"",""ลำปาง!I245"")"),10)</f>
        <v>10</v>
      </c>
      <c r="J350" s="370">
        <f ca="1">IFERROR(__xludf.DUMMYFUNCTION("IMPORTRANGE(""https://docs.google.com/spreadsheets/d/11923uPwbBZFjjGgGUA6NLw09EwE0CqkOc4q9oUmW1yo/edit?usp=sharing"",""ลำปาง!J245"")"),10)</f>
        <v>10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IFERROR(__xludf.DUMMYFUNCTION("IMPORTRANGE(""https://docs.google.com/spreadsheets/d/11923uPwbBZFjjGgGUA6NLw09EwE0CqkOc4q9oUmW1yo/edit?usp=sharing"",""ลำปาง!L246"")"),0)</f>
        <v>0</v>
      </c>
      <c r="M351" s="164"/>
      <c r="N351" s="164">
        <f ca="1">IFERROR(__xludf.DUMMYFUNCTION("IMPORTRANGE(""https://docs.google.com/spreadsheets/d/11923uPwbBZFjjGgGUA6NLw09EwE0CqkOc4q9oUmW1yo/edit?usp=sharing"",""ลำปาง!M246"")"),0)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IFERROR(__xludf.DUMMYFUNCTION("IMPORTRANGE(""https://docs.google.com/spreadsheets/d/11923uPwbBZFjjGgGUA6NLw09EwE0CqkOc4q9oUmW1yo/edit?usp=sharing"",""ลำปาง!L247"")"),230720)</f>
        <v>230720</v>
      </c>
      <c r="M352" s="165"/>
      <c r="N352" s="164">
        <f ca="1">IFERROR(__xludf.DUMMYFUNCTION("IMPORTRANGE(""https://docs.google.com/spreadsheets/d/11923uPwbBZFjjGgGUA6NLw09EwE0CqkOc4q9oUmW1yo/edit?usp=sharing"",""ลำปาง!M247"")"),156023.4)</f>
        <v>156023.4</v>
      </c>
      <c r="O352" s="165">
        <f t="shared" ca="1" si="105"/>
        <v>67.62456657420249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IFERROR(__xludf.DUMMYFUNCTION("IMPORTRANGE(""https://docs.google.com/spreadsheets/d/11923uPwbBZFjjGgGUA6NLw09EwE0CqkOc4q9oUmW1yo/edit?usp=sharing"",""ลำปาง!L248"")"),0)</f>
        <v>0</v>
      </c>
      <c r="M353" s="168"/>
      <c r="N353" s="168">
        <f ca="1">IFERROR(__xludf.DUMMYFUNCTION("IMPORTRANGE(""https://docs.google.com/spreadsheets/d/11923uPwbBZFjjGgGUA6NLw09EwE0CqkOc4q9oUmW1yo/edit?usp=sharing"",""ลำปาง!M248"")"),0)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IFERROR(__xludf.DUMMYFUNCTION("IMPORTRANGE(""https://docs.google.com/spreadsheets/d/11923uPwbBZFjjGgGUA6NLw09EwE0CqkOc4q9oUmW1yo/edit?usp=sharing"",""ลำปาง!L249"")"),230720)</f>
        <v>230720</v>
      </c>
      <c r="M354" s="168"/>
      <c r="N354" s="167">
        <f ca="1">IFERROR(__xludf.DUMMYFUNCTION("IMPORTRANGE(""https://docs.google.com/spreadsheets/d/11923uPwbBZFjjGgGUA6NLw09EwE0CqkOc4q9oUmW1yo/edit?usp=sharing"",""ลำปาง!M249"")"),156023.4)</f>
        <v>156023.4</v>
      </c>
      <c r="O354" s="168">
        <f t="shared" ca="1" si="105"/>
        <v>67.62456657420249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IFERROR(__xludf.DUMMYFUNCTION("IMPORTRANGE(""https://docs.google.com/spreadsheets/d/11923uPwbBZFjjGgGUA6NLw09EwE0CqkOc4q9oUmW1yo/edit?usp=sharing"",""ลำปาง!M250"")"),16200)</f>
        <v>16200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IFERROR(__xludf.DUMMYFUNCTION("IMPORTRANGE(""https://docs.google.com/spreadsheets/d/11923uPwbBZFjjGgGUA6NLw09EwE0CqkOc4q9oUmW1yo/edit?usp=sharing"",""ลำปาง!M251"")"),40000)</f>
        <v>40000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IFERROR(__xludf.DUMMYFUNCTION("IMPORTRANGE(""https://docs.google.com/spreadsheets/d/11923uPwbBZFjjGgGUA6NLw09EwE0CqkOc4q9oUmW1yo/edit?usp=sharing"",""ลำปาง!M252"")"),84333.4)</f>
        <v>84333.4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IFERROR(__xludf.DUMMYFUNCTION("IMPORTRANGE(""https://docs.google.com/spreadsheets/d/11923uPwbBZFjjGgGUA6NLw09EwE0CqkOc4q9oUmW1yo/edit?usp=sharing"",""ลำปาง!M253"")"),15490)</f>
        <v>15490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IFERROR(__xludf.DUMMYFUNCTION("IMPORTRANGE(""https://docs.google.com/spreadsheets/d/11923uPwbBZFjjGgGUA6NLw09EwE0CqkOc4q9oUmW1yo/edit?usp=sharing"",""ลำปาง!J255"")"),0)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IFERROR(__xludf.DUMMYFUNCTION("IMPORTRANGE(""https://docs.google.com/spreadsheets/d/11923uPwbBZFjjGgGUA6NLw09EwE0CqkOc4q9oUmW1yo/edit?usp=sharing"",""ลำปาง!J256"")"),1)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IFERROR(__xludf.DUMMYFUNCTION("IMPORTRANGE(""https://docs.google.com/spreadsheets/d/11923uPwbBZFjjGgGUA6NLw09EwE0CqkOc4q9oUmW1yo/edit?usp=sharing"",""ลำปาง!J257"")"),1)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IFERROR(__xludf.DUMMYFUNCTION("IMPORTRANGE(""https://docs.google.com/spreadsheets/d/11923uPwbBZFjjGgGUA6NLw09EwE0CqkOc4q9oUmW1yo/edit?usp=sharing"",""ลำปาง!J258"")"),1)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IFERROR(__xludf.DUMMYFUNCTION("IMPORTRANGE(""https://docs.google.com/spreadsheets/d/11923uPwbBZFjjGgGUA6NLw09EwE0CqkOc4q9oUmW1yo/edit?usp=sharing"",""ลำปาง!J166"")"),0)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IFERROR(__xludf.DUMMYFUNCTION("IMPORTRANGE(""https://docs.google.com/spreadsheets/d/11923uPwbBZFjjGgGUA6NLw09EwE0CqkOc4q9oUmW1yo/edit?usp=sharing"",""ลำปาง!J166"")"),0)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IFERROR(__xludf.DUMMYFUNCTION("IMPORTRANGE(""https://docs.google.com/spreadsheets/d/11923uPwbBZFjjGgGUA6NLw09EwE0CqkOc4q9oUmW1yo/edit?usp=sharing"",""ลำปาง!J166"")"),0)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IFERROR(__xludf.DUMMYFUNCTION("IMPORTRANGE(""https://docs.google.com/spreadsheets/d/11923uPwbBZFjjGgGUA6NLw09EwE0CqkOc4q9oUmW1yo/edit?usp=sharing"",""ลำปาง!J166"")"),0)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IFERROR(__xludf.DUMMYFUNCTION("IMPORTRANGE(""https://docs.google.com/spreadsheets/d/11923uPwbBZFjjGgGUA6NLw09EwE0CqkOc4q9oUmW1yo/edit?usp=sharing"",""ลำปาง!I263"")"),10)</f>
        <v>10</v>
      </c>
      <c r="J368" s="187">
        <f ca="1">IFERROR(__xludf.DUMMYFUNCTION("IMPORTRANGE(""https://docs.google.com/spreadsheets/d/11923uPwbBZFjjGgGUA6NLw09EwE0CqkOc4q9oUmW1yo/edit?usp=sharing"",""ลำปาง!J263"")"),10)</f>
        <v>10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IFERROR(__xludf.DUMMYFUNCTION("IMPORTRANGE(""https://docs.google.com/spreadsheets/d/11923uPwbBZFjjGgGUA6NLw09EwE0CqkOc4q9oUmW1yo/edit?usp=sharing"",""ลำปาง!I164"")"),0)</f>
        <v>0</v>
      </c>
      <c r="J369" s="203">
        <f ca="1">IFERROR(__xludf.DUMMYFUNCTION("IMPORTRANGE(""https://docs.google.com/spreadsheets/d/11923uPwbBZFjjGgGUA6NLw09EwE0CqkOc4q9oUmW1yo/edit?usp=sharing"",""ลำปาง!J164"")"),0)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IFERROR(__xludf.DUMMYFUNCTION("IMPORTRANGE(""https://docs.google.com/spreadsheets/d/11923uPwbBZFjjGgGUA6NLw09EwE0CqkOc4q9oUmW1yo/edit?usp=sharing"",""ลำปาง!I265"")"),10)</f>
        <v>10</v>
      </c>
      <c r="J370" s="203">
        <f ca="1">IFERROR(__xludf.DUMMYFUNCTION("IMPORTRANGE(""https://docs.google.com/spreadsheets/d/11923uPwbBZFjjGgGUA6NLw09EwE0CqkOc4q9oUmW1yo/edit?usp=sharing"",""ลำปาง!J265"")"),0)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IFERROR(__xludf.DUMMYFUNCTION("IMPORTRANGE(""https://docs.google.com/spreadsheets/d/11923uPwbBZFjjGgGUA6NLw09EwE0CqkOc4q9oUmW1yo/edit?usp=sharing"",""ลำปาง!I164"")"),0)</f>
        <v>0</v>
      </c>
      <c r="J371" s="188">
        <f ca="1">IFERROR(__xludf.DUMMYFUNCTION("IMPORTRANGE(""https://docs.google.com/spreadsheets/d/11923uPwbBZFjjGgGUA6NLw09EwE0CqkOc4q9oUmW1yo/edit?usp=sharing"",""ลำปาง!J164"")"),0)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IFERROR(__xludf.DUMMYFUNCTION("IMPORTRANGE(""https://docs.google.com/spreadsheets/d/11923uPwbBZFjjGgGUA6NLw09EwE0CqkOc4q9oUmW1yo/edit?usp=sharing"",""ลำปาง!I267"")"),10)</f>
        <v>10</v>
      </c>
      <c r="J372" s="188">
        <f ca="1">IFERROR(__xludf.DUMMYFUNCTION("IMPORTRANGE(""https://docs.google.com/spreadsheets/d/11923uPwbBZFjjGgGUA6NLw09EwE0CqkOc4q9oUmW1yo/edit?usp=sharing"",""ลำปาง!J267"")"),10)</f>
        <v>10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IFERROR(__xludf.DUMMYFUNCTION("IMPORTRANGE(""https://docs.google.com/spreadsheets/d/11923uPwbBZFjjGgGUA6NLw09EwE0CqkOc4q9oUmW1yo/edit?usp=sharing"",""ลำปาง!I164"")"),0)</f>
        <v>0</v>
      </c>
      <c r="J373" s="203">
        <f ca="1">IFERROR(__xludf.DUMMYFUNCTION("IMPORTRANGE(""https://docs.google.com/spreadsheets/d/11923uPwbBZFjjGgGUA6NLw09EwE0CqkOc4q9oUmW1yo/edit?usp=sharing"",""ลำปาง!J164"")"),0)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IFERROR(__xludf.DUMMYFUNCTION("IMPORTRANGE(""https://docs.google.com/spreadsheets/d/11923uPwbBZFjjGgGUA6NLw09EwE0CqkOc4q9oUmW1yo/edit?usp=sharing"",""ลำปาง!I164"")"),0)</f>
        <v>0</v>
      </c>
      <c r="J374" s="187">
        <f ca="1">IFERROR(__xludf.DUMMYFUNCTION("IMPORTRANGE(""https://docs.google.com/spreadsheets/d/11923uPwbBZFjjGgGUA6NLw09EwE0CqkOc4q9oUmW1yo/edit?usp=sharing"",""ลำปาง!J164"")"),0)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IFERROR(__xludf.DUMMYFUNCTION("IMPORTRANGE(""https://docs.google.com/spreadsheets/d/11923uPwbBZFjjGgGUA6NLw09EwE0CqkOc4q9oUmW1yo/edit?usp=sharing"",""ลำปาง!I270"")"),50)</f>
        <v>50</v>
      </c>
      <c r="J375" s="187">
        <f ca="1">IFERROR(__xludf.DUMMYFUNCTION("IMPORTRANGE(""https://docs.google.com/spreadsheets/d/11923uPwbBZFjjGgGUA6NLw09EwE0CqkOc4q9oUmW1yo/edit?usp=sharing"",""ลำปาง!J270"")"),50)</f>
        <v>50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IFERROR(__xludf.DUMMYFUNCTION("IMPORTRANGE(""https://docs.google.com/spreadsheets/d/11923uPwbBZFjjGgGUA6NLw09EwE0CqkOc4q9oUmW1yo/edit?usp=sharing"",""ลำปาง!I271"")"),0)</f>
        <v>0</v>
      </c>
      <c r="J376" s="188">
        <f ca="1">IFERROR(__xludf.DUMMYFUNCTION("IMPORTRANGE(""https://docs.google.com/spreadsheets/d/11923uPwbBZFjjGgGUA6NLw09EwE0CqkOc4q9oUmW1yo/edit?usp=sharing"",""ลำปาง!J271"")"),0)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IFERROR(__xludf.DUMMYFUNCTION("IMPORTRANGE(""https://docs.google.com/spreadsheets/d/11923uPwbBZFjjGgGUA6NLw09EwE0CqkOc4q9oUmW1yo/edit?usp=sharing"",""ลำปาง!I272"")"),50)</f>
        <v>50</v>
      </c>
      <c r="J377" s="203">
        <f ca="1">IFERROR(__xludf.DUMMYFUNCTION("IMPORTRANGE(""https://docs.google.com/spreadsheets/d/11923uPwbBZFjjGgGUA6NLw09EwE0CqkOc4q9oUmW1yo/edit?usp=sharing"",""ลำปาง!J272"")"),50)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IFERROR(__xludf.DUMMYFUNCTION("IMPORTRANGE(""https://docs.google.com/spreadsheets/d/11923uPwbBZFjjGgGUA6NLw09EwE0CqkOc4q9oUmW1yo/edit?usp=sharing"",""ลำปาง!J273"")"),1)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IFERROR(__xludf.DUMMYFUNCTION("IMPORTRANGE(""https://docs.google.com/spreadsheets/d/11923uPwbBZFjjGgGUA6NLw09EwE0CqkOc4q9oUmW1yo/edit?usp=sharing"",""ลำปาง!J274"")"),0)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IFERROR(__xludf.DUMMYFUNCTION("IMPORTRANGE(""https://docs.google.com/spreadsheets/d/11923uPwbBZFjjGgGUA6NLw09EwE0CqkOc4q9oUmW1yo/edit?usp=sharing"",""ลำปาง!I275"")"),1000)</f>
        <v>1000</v>
      </c>
      <c r="J380" s="370">
        <f ca="1">IFERROR(__xludf.DUMMYFUNCTION("IMPORTRANGE(""https://docs.google.com/spreadsheets/d/11923uPwbBZFjjGgGUA6NLw09EwE0CqkOc4q9oUmW1yo/edit?usp=sharing"",""ลำปาง!J275"")"),0)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IFERROR(__xludf.DUMMYFUNCTION("IMPORTRANGE(""https://docs.google.com/spreadsheets/d/11923uPwbBZFjjGgGUA6NLw09EwE0CqkOc4q9oUmW1yo/edit?usp=sharing"",""ลำปาง!L275"")"),1028520)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IFERROR(__xludf.DUMMYFUNCTION("IMPORTRANGE(""https://docs.google.com/spreadsheets/d/11923uPwbBZFjjGgGUA6NLw09EwE0CqkOc4q9oUmW1yo/edit?usp=sharing"",""ลำปาง!M275"")"),326568.38)</f>
        <v>326568.38</v>
      </c>
      <c r="O380" s="372">
        <f ca="1">+IF(L380&gt;0,N380*100/L380,0)</f>
        <v>31.751291175669895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IFERROR(__xludf.DUMMYFUNCTION("IMPORTRANGE(""https://docs.google.com/spreadsheets/d/11923uPwbBZFjjGgGUA6NLw09EwE0CqkOc4q9oUmW1yo/edit?usp=sharing"",""ลำปาง!I276"")"),100)</f>
        <v>100</v>
      </c>
      <c r="J381" s="370">
        <f ca="1">IFERROR(__xludf.DUMMYFUNCTION("IMPORTRANGE(""https://docs.google.com/spreadsheets/d/11923uPwbBZFjjGgGUA6NLw09EwE0CqkOc4q9oUmW1yo/edit?usp=sharing"",""ลำปาง!J276"")"),100)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IFERROR(__xludf.DUMMYFUNCTION("IMPORTRANGE(""https://docs.google.com/spreadsheets/d/11923uPwbBZFjjGgGUA6NLw09EwE0CqkOc4q9oUmW1yo/edit?usp=sharing"",""ลำปาง!L277"")"),0)</f>
        <v>0</v>
      </c>
      <c r="M382" s="164"/>
      <c r="N382" s="164">
        <f ca="1">IFERROR(__xludf.DUMMYFUNCTION("IMPORTRANGE(""https://docs.google.com/spreadsheets/d/11923uPwbBZFjjGgGUA6NLw09EwE0CqkOc4q9oUmW1yo/edit?usp=sharing"",""ลำปาง!M277"")"),0)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IFERROR(__xludf.DUMMYFUNCTION("IMPORTRANGE(""https://docs.google.com/spreadsheets/d/11923uPwbBZFjjGgGUA6NLw09EwE0CqkOc4q9oUmW1yo/edit?usp=sharing"",""ลำปาง!L278"")"),1028520)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IFERROR(__xludf.DUMMYFUNCTION("IMPORTRANGE(""https://docs.google.com/spreadsheets/d/11923uPwbBZFjjGgGUA6NLw09EwE0CqkOc4q9oUmW1yo/edit?usp=sharing"",""ลำปาง!M278"")"),326568.38)</f>
        <v>326568.38</v>
      </c>
      <c r="O383" s="165">
        <f t="shared" ca="1" si="109"/>
        <v>31.751291175669895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IFERROR(__xludf.DUMMYFUNCTION("IMPORTRANGE(""https://docs.google.com/spreadsheets/d/11923uPwbBZFjjGgGUA6NLw09EwE0CqkOc4q9oUmW1yo/edit?usp=sharing"",""ลำปาง!L279"")"),0)</f>
        <v>0</v>
      </c>
      <c r="M384" s="168"/>
      <c r="N384" s="168">
        <f ca="1">IFERROR(__xludf.DUMMYFUNCTION("IMPORTRANGE(""https://docs.google.com/spreadsheets/d/11923uPwbBZFjjGgGUA6NLw09EwE0CqkOc4q9oUmW1yo/edit?usp=sharing"",""ลำปาง!M279"")"),0)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IFERROR(__xludf.DUMMYFUNCTION("IMPORTRANGE(""https://docs.google.com/spreadsheets/d/11923uPwbBZFjjGgGUA6NLw09EwE0CqkOc4q9oUmW1yo/edit?usp=sharing"",""ลำปาง!L280"")"),1028520)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IFERROR(__xludf.DUMMYFUNCTION("IMPORTRANGE(""https://docs.google.com/spreadsheets/d/11923uPwbBZFjjGgGUA6NLw09EwE0CqkOc4q9oUmW1yo/edit?usp=sharing"",""ลำปาง!M280"")"),326568.38)</f>
        <v>326568.38</v>
      </c>
      <c r="O385" s="168">
        <f t="shared" ca="1" si="109"/>
        <v>31.751291175669895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IFERROR(__xludf.DUMMYFUNCTION("IMPORTRANGE(""https://docs.google.com/spreadsheets/d/11923uPwbBZFjjGgGUA6NLw09EwE0CqkOc4q9oUmW1yo/edit?usp=sharing"",""ลำปาง!M281"")"),198000)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IFERROR(__xludf.DUMMYFUNCTION("IMPORTRANGE(""https://docs.google.com/spreadsheets/d/11923uPwbBZFjjGgGUA6NLw09EwE0CqkOc4q9oUmW1yo/edit?usp=sharing"",""ลำปาง!M282"")"),0)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IFERROR(__xludf.DUMMYFUNCTION("IMPORTRANGE(""https://docs.google.com/spreadsheets/d/11923uPwbBZFjjGgGUA6NLw09EwE0CqkOc4q9oUmW1yo/edit?usp=sharing"",""ลำปาง!M283"")"),85433.38)</f>
        <v>85433.38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IFERROR(__xludf.DUMMYFUNCTION("IMPORTRANGE(""https://docs.google.com/spreadsheets/d/11923uPwbBZFjjGgGUA6NLw09EwE0CqkOc4q9oUmW1yo/edit?usp=sharing"",""ลำปาง!M284"")"),43135)</f>
        <v>43135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IFERROR(__xludf.DUMMYFUNCTION("IMPORTRANGE(""https://docs.google.com/spreadsheets/d/11923uPwbBZFjjGgGUA6NLw09EwE0CqkOc4q9oUmW1yo/edit?usp=sharing"",""ลำปาง!J286"")"),0)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IFERROR(__xludf.DUMMYFUNCTION("IMPORTRANGE(""https://docs.google.com/spreadsheets/d/11923uPwbBZFjjGgGUA6NLw09EwE0CqkOc4q9oUmW1yo/edit?usp=sharing"",""ลำปาง!J287"")"),1)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IFERROR(__xludf.DUMMYFUNCTION("IMPORTRANGE(""https://docs.google.com/spreadsheets/d/11923uPwbBZFjjGgGUA6NLw09EwE0CqkOc4q9oUmW1yo/edit?usp=sharing"",""ลำปาง!J288"")"),1)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IFERROR(__xludf.DUMMYFUNCTION("IMPORTRANGE(""https://docs.google.com/spreadsheets/d/11923uPwbBZFjjGgGUA6NLw09EwE0CqkOc4q9oUmW1yo/edit?usp=sharing"",""ลำปาง!J289"")"),1)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IFERROR(__xludf.DUMMYFUNCTION("IMPORTRANGE(""https://docs.google.com/spreadsheets/d/11923uPwbBZFjjGgGUA6NLw09EwE0CqkOc4q9oUmW1yo/edit?usp=sharing"",""ลำปาง!I291"")"),100)</f>
        <v>100</v>
      </c>
      <c r="J396" s="197">
        <f ca="1">IFERROR(__xludf.DUMMYFUNCTION("IMPORTRANGE(""https://docs.google.com/spreadsheets/d/11923uPwbBZFjjGgGUA6NLw09EwE0CqkOc4q9oUmW1yo/edit?usp=sharing"",""ลำปาง!J291"")"),100)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IFERROR(__xludf.DUMMYFUNCTION("IMPORTRANGE(""https://docs.google.com/spreadsheets/d/11923uPwbBZFjjGgGUA6NLw09EwE0CqkOc4q9oUmW1yo/edit?usp=sharing"",""ลำปาง!I292"")"),1000)</f>
        <v>1000</v>
      </c>
      <c r="J397" s="197">
        <f ca="1">IFERROR(__xludf.DUMMYFUNCTION("IMPORTRANGE(""https://docs.google.com/spreadsheets/d/11923uPwbBZFjjGgGUA6NLw09EwE0CqkOc4q9oUmW1yo/edit?usp=sharing"",""ลำปาง!J292"")"),0)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IFERROR(__xludf.DUMMYFUNCTION("IMPORTRANGE(""https://docs.google.com/spreadsheets/d/11923uPwbBZFjjGgGUA6NLw09EwE0CqkOc4q9oUmW1yo/edit?usp=sharing"",""ลำปาง!I293"")"),100)</f>
        <v>100</v>
      </c>
      <c r="J398" s="197">
        <f ca="1">IFERROR(__xludf.DUMMYFUNCTION("IMPORTRANGE(""https://docs.google.com/spreadsheets/d/11923uPwbBZFjjGgGUA6NLw09EwE0CqkOc4q9oUmW1yo/edit?usp=sharing"",""ลำปาง!J293"")"),0)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IFERROR(__xludf.DUMMYFUNCTION("IMPORTRANGE(""https://docs.google.com/spreadsheets/d/11923uPwbBZFjjGgGUA6NLw09EwE0CqkOc4q9oUmW1yo/edit?usp=sharing"",""ลำปาง!J294"")"),0)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IFERROR(__xludf.DUMMYFUNCTION("IMPORTRANGE(""https://docs.google.com/spreadsheets/d/11923uPwbBZFjjGgGUA6NLw09EwE0CqkOc4q9oUmW1yo/edit?usp=sharing"",""ลำปาง!J295"")"),0)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IFERROR(__xludf.DUMMYFUNCTION("IMPORTRANGE(""https://docs.google.com/spreadsheets/d/11923uPwbBZFjjGgGUA6NLw09EwE0CqkOc4q9oUmW1yo/edit?usp=sharing"",""ลำปาง!I296"")"),120)</f>
        <v>120</v>
      </c>
      <c r="J401" s="370">
        <f ca="1">IFERROR(__xludf.DUMMYFUNCTION("IMPORTRANGE(""https://docs.google.com/spreadsheets/d/11923uPwbBZFjjGgGUA6NLw09EwE0CqkOc4q9oUmW1yo/edit?usp=sharing"",""ลำปาง!J296"")"),120)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IFERROR(__xludf.DUMMYFUNCTION("IMPORTRANGE(""https://docs.google.com/spreadsheets/d/11923uPwbBZFjjGgGUA6NLw09EwE0CqkOc4q9oUmW1yo/edit?usp=sharing"",""ลำปาง!L296"")"),144560)</f>
        <v>144560</v>
      </c>
      <c r="M401" s="372"/>
      <c r="N401" s="372">
        <f ca="1">IFERROR(__xludf.DUMMYFUNCTION("IMPORTRANGE(""https://docs.google.com/spreadsheets/d/11923uPwbBZFjjGgGUA6NLw09EwE0CqkOc4q9oUmW1yo/edit?usp=sharing"",""ลำปาง!M296"")"),100010)</f>
        <v>100010</v>
      </c>
      <c r="O401" s="372">
        <f ca="1">+IF(L401&gt;0,N401*100/L401,0)</f>
        <v>69.182346430547867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IFERROR(__xludf.DUMMYFUNCTION("IMPORTRANGE(""https://docs.google.com/spreadsheets/d/11923uPwbBZFjjGgGUA6NLw09EwE0CqkOc4q9oUmW1yo/edit?usp=sharing"",""ลำปาง!I297"")"),40)</f>
        <v>40</v>
      </c>
      <c r="J402" s="370">
        <f ca="1">IFERROR(__xludf.DUMMYFUNCTION("IMPORTRANGE(""https://docs.google.com/spreadsheets/d/11923uPwbBZFjjGgGUA6NLw09EwE0CqkOc4q9oUmW1yo/edit?usp=sharing"",""ลำปาง!J297"")"),40)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IFERROR(__xludf.DUMMYFUNCTION("IMPORTRANGE(""https://docs.google.com/spreadsheets/d/11923uPwbBZFjjGgGUA6NLw09EwE0CqkOc4q9oUmW1yo/edit?usp=sharing"",""ลำปาง!L298"")"),0)</f>
        <v>0</v>
      </c>
      <c r="M403" s="164"/>
      <c r="N403" s="168">
        <f ca="1">IFERROR(__xludf.DUMMYFUNCTION("IMPORTRANGE(""https://docs.google.com/spreadsheets/d/11923uPwbBZFjjGgGUA6NLw09EwE0CqkOc4q9oUmW1yo/edit?usp=sharing"",""ลำปาง!M298"")"),0)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IFERROR(__xludf.DUMMYFUNCTION("IMPORTRANGE(""https://docs.google.com/spreadsheets/d/11923uPwbBZFjjGgGUA6NLw09EwE0CqkOc4q9oUmW1yo/edit?usp=sharing"",""ลำปาง!L299"")"),144560)</f>
        <v>144560</v>
      </c>
      <c r="M404" s="165"/>
      <c r="N404" s="168">
        <f ca="1">IFERROR(__xludf.DUMMYFUNCTION("IMPORTRANGE(""https://docs.google.com/spreadsheets/d/11923uPwbBZFjjGgGUA6NLw09EwE0CqkOc4q9oUmW1yo/edit?usp=sharing"",""ลำปาง!M299"")"),100010)</f>
        <v>100010</v>
      </c>
      <c r="O404" s="168">
        <f t="shared" ca="1" si="112"/>
        <v>69.182346430547867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IFERROR(__xludf.DUMMYFUNCTION("IMPORTRANGE(""https://docs.google.com/spreadsheets/d/11923uPwbBZFjjGgGUA6NLw09EwE0CqkOc4q9oUmW1yo/edit?usp=sharing"",""ลำปาง!L300"")"),0)</f>
        <v>0</v>
      </c>
      <c r="M405" s="168"/>
      <c r="N405" s="168">
        <f ca="1">IFERROR(__xludf.DUMMYFUNCTION("IMPORTRANGE(""https://docs.google.com/spreadsheets/d/11923uPwbBZFjjGgGUA6NLw09EwE0CqkOc4q9oUmW1yo/edit?usp=sharing"",""ลำปาง!M300"")"),0)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IFERROR(__xludf.DUMMYFUNCTION("IMPORTRANGE(""https://docs.google.com/spreadsheets/d/11923uPwbBZFjjGgGUA6NLw09EwE0CqkOc4q9oUmW1yo/edit?usp=sharing"",""ลำปาง!L301"")"),144560)</f>
        <v>144560</v>
      </c>
      <c r="M406" s="168"/>
      <c r="N406" s="168">
        <f ca="1">IFERROR(__xludf.DUMMYFUNCTION("IMPORTRANGE(""https://docs.google.com/spreadsheets/d/11923uPwbBZFjjGgGUA6NLw09EwE0CqkOc4q9oUmW1yo/edit?usp=sharing"",""ลำปาง!M301"")"),100010)</f>
        <v>100010</v>
      </c>
      <c r="O406" s="168">
        <f t="shared" ca="1" si="112"/>
        <v>69.182346430547867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IFERROR(__xludf.DUMMYFUNCTION("IMPORTRANGE(""https://docs.google.com/spreadsheets/d/11923uPwbBZFjjGgGUA6NLw09EwE0CqkOc4q9oUmW1yo/edit?usp=sharing"",""ลำปาง!M302"")"),88200)</f>
        <v>88200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IFERROR(__xludf.DUMMYFUNCTION("IMPORTRANGE(""https://docs.google.com/spreadsheets/d/11923uPwbBZFjjGgGUA6NLw09EwE0CqkOc4q9oUmW1yo/edit?usp=sharing"",""ลำปาง!M303"")"),0)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IFERROR(__xludf.DUMMYFUNCTION("IMPORTRANGE(""https://docs.google.com/spreadsheets/d/11923uPwbBZFjjGgGUA6NLw09EwE0CqkOc4q9oUmW1yo/edit?usp=sharing"",""ลำปาง!M304"")"),0)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IFERROR(__xludf.DUMMYFUNCTION("IMPORTRANGE(""https://docs.google.com/spreadsheets/d/11923uPwbBZFjjGgGUA6NLw09EwE0CqkOc4q9oUmW1yo/edit?usp=sharing"",""ลำปาง!M305"")"),11810)</f>
        <v>11810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IFERROR(__xludf.DUMMYFUNCTION("IMPORTRANGE(""https://docs.google.com/spreadsheets/d/11923uPwbBZFjjGgGUA6NLw09EwE0CqkOc4q9oUmW1yo/edit?usp=sharing"",""ลำปาง!J307"")"),0)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IFERROR(__xludf.DUMMYFUNCTION("IMPORTRANGE(""https://docs.google.com/spreadsheets/d/11923uPwbBZFjjGgGUA6NLw09EwE0CqkOc4q9oUmW1yo/edit?usp=sharing"",""ลำปาง!J308"")"),1)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IFERROR(__xludf.DUMMYFUNCTION("IMPORTRANGE(""https://docs.google.com/spreadsheets/d/11923uPwbBZFjjGgGUA6NLw09EwE0CqkOc4q9oUmW1yo/edit?usp=sharing"",""ลำปาง!J309"")"),1)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IFERROR(__xludf.DUMMYFUNCTION("IMPORTRANGE(""https://docs.google.com/spreadsheets/d/11923uPwbBZFjjGgGUA6NLw09EwE0CqkOc4q9oUmW1yo/edit?usp=sharing"",""ลำปาง!J310"")"),1)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IFERROR(__xludf.DUMMYFUNCTION("IMPORTRANGE(""https://docs.google.com/spreadsheets/d/11923uPwbBZFjjGgGUA6NLw09EwE0CqkOc4q9oUmW1yo/edit?usp=sharing"",""ลำปาง!I311"")"),40)</f>
        <v>40</v>
      </c>
      <c r="J416" s="200">
        <f ca="1">IFERROR(__xludf.DUMMYFUNCTION("IMPORTRANGE(""https://docs.google.com/spreadsheets/d/11923uPwbBZFjjGgGUA6NLw09EwE0CqkOc4q9oUmW1yo/edit?usp=sharing"",""ลำปาง!J311"")"),40)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IFERROR(__xludf.DUMMYFUNCTION("IMPORTRANGE(""https://docs.google.com/spreadsheets/d/11923uPwbBZFjjGgGUA6NLw09EwE0CqkOc4q9oUmW1yo/edit?usp=sharing"",""ลำปาง!I312"")"),10)</f>
        <v>10</v>
      </c>
      <c r="J417" s="391">
        <f ca="1">IFERROR(__xludf.DUMMYFUNCTION("IMPORTRANGE(""https://docs.google.com/spreadsheets/d/11923uPwbBZFjjGgGUA6NLw09EwE0CqkOc4q9oUmW1yo/edit?usp=sharing"",""ลำปาง!J312"")"),10)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IFERROR(__xludf.DUMMYFUNCTION("IMPORTRANGE(""https://docs.google.com/spreadsheets/d/11923uPwbBZFjjGgGUA6NLw09EwE0CqkOc4q9oUmW1yo/edit?usp=sharing"",""ลำปาง!I313"")"),30)</f>
        <v>30</v>
      </c>
      <c r="J418" s="392">
        <f ca="1">IFERROR(__xludf.DUMMYFUNCTION("IMPORTRANGE(""https://docs.google.com/spreadsheets/d/11923uPwbBZFjjGgGUA6NLw09EwE0CqkOc4q9oUmW1yo/edit?usp=sharing"",""ลำปาง!J313"")"),30)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IFERROR(__xludf.DUMMYFUNCTION("IMPORTRANGE(""https://docs.google.com/spreadsheets/d/11923uPwbBZFjjGgGUA6NLw09EwE0CqkOc4q9oUmW1yo/edit?usp=sharing"",""ลำปาง!I314"")"),10)</f>
        <v>10</v>
      </c>
      <c r="J419" s="393">
        <f ca="1">IFERROR(__xludf.DUMMYFUNCTION("IMPORTRANGE(""https://docs.google.com/spreadsheets/d/11923uPwbBZFjjGgGUA6NLw09EwE0CqkOc4q9oUmW1yo/edit?usp=sharing"",""ลำปาง!J314"")"),10)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IFERROR(__xludf.DUMMYFUNCTION("IMPORTRANGE(""https://docs.google.com/spreadsheets/d/11923uPwbBZFjjGgGUA6NLw09EwE0CqkOc4q9oUmW1yo/edit?usp=sharing"",""ลำปาง!I315"")"),10)</f>
        <v>10</v>
      </c>
      <c r="J420" s="393">
        <f ca="1">IFERROR(__xludf.DUMMYFUNCTION("IMPORTRANGE(""https://docs.google.com/spreadsheets/d/11923uPwbBZFjjGgGUA6NLw09EwE0CqkOc4q9oUmW1yo/edit?usp=sharing"",""ลำปาง!J315"")"),10)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IFERROR(__xludf.DUMMYFUNCTION("IMPORTRANGE(""https://docs.google.com/spreadsheets/d/11923uPwbBZFjjGgGUA6NLw09EwE0CqkOc4q9oUmW1yo/edit?usp=sharing"",""ลำปาง!I316"")"),20)</f>
        <v>20</v>
      </c>
      <c r="J421" s="391">
        <f ca="1">IFERROR(__xludf.DUMMYFUNCTION("IMPORTRANGE(""https://docs.google.com/spreadsheets/d/11923uPwbBZFjjGgGUA6NLw09EwE0CqkOc4q9oUmW1yo/edit?usp=sharing"",""ลำปาง!J316"")"),20)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IFERROR(__xludf.DUMMYFUNCTION("IMPORTRANGE(""https://docs.google.com/spreadsheets/d/11923uPwbBZFjjGgGUA6NLw09EwE0CqkOc4q9oUmW1yo/edit?usp=sharing"",""ลำปาง!I317"")"),60)</f>
        <v>60</v>
      </c>
      <c r="J422" s="392">
        <f ca="1">IFERROR(__xludf.DUMMYFUNCTION("IMPORTRANGE(""https://docs.google.com/spreadsheets/d/11923uPwbBZFjjGgGUA6NLw09EwE0CqkOc4q9oUmW1yo/edit?usp=sharing"",""ลำปาง!J317"")"),60)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IFERROR(__xludf.DUMMYFUNCTION("IMPORTRANGE(""https://docs.google.com/spreadsheets/d/11923uPwbBZFjjGgGUA6NLw09EwE0CqkOc4q9oUmW1yo/edit?usp=sharing"",""ลำปาง!I318"")"),20)</f>
        <v>20</v>
      </c>
      <c r="J423" s="393">
        <f ca="1">IFERROR(__xludf.DUMMYFUNCTION("IMPORTRANGE(""https://docs.google.com/spreadsheets/d/11923uPwbBZFjjGgGUA6NLw09EwE0CqkOc4q9oUmW1yo/edit?usp=sharing"",""ลำปาง!J318"")"),20)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IFERROR(__xludf.DUMMYFUNCTION("IMPORTRANGE(""https://docs.google.com/spreadsheets/d/11923uPwbBZFjjGgGUA6NLw09EwE0CqkOc4q9oUmW1yo/edit?usp=sharing"",""ลำปาง!I319"")"),20)</f>
        <v>20</v>
      </c>
      <c r="J424" s="393">
        <f ca="1">IFERROR(__xludf.DUMMYFUNCTION("IMPORTRANGE(""https://docs.google.com/spreadsheets/d/11923uPwbBZFjjGgGUA6NLw09EwE0CqkOc4q9oUmW1yo/edit?usp=sharing"",""ลำปาง!J319"")"),20)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IFERROR(__xludf.DUMMYFUNCTION("IMPORTRANGE(""https://docs.google.com/spreadsheets/d/11923uPwbBZFjjGgGUA6NLw09EwE0CqkOc4q9oUmW1yo/edit?usp=sharing"",""ลำปาง!I320"")"),20)</f>
        <v>20</v>
      </c>
      <c r="J425" s="393">
        <f ca="1">IFERROR(__xludf.DUMMYFUNCTION("IMPORTRANGE(""https://docs.google.com/spreadsheets/d/11923uPwbBZFjjGgGUA6NLw09EwE0CqkOc4q9oUmW1yo/edit?usp=sharing"",""ลำปาง!J320"")"),20)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IFERROR(__xludf.DUMMYFUNCTION("IMPORTRANGE(""https://docs.google.com/spreadsheets/d/11923uPwbBZFjjGgGUA6NLw09EwE0CqkOc4q9oUmW1yo/edit?usp=sharing"",""ลำปาง!I321"")"),10)</f>
        <v>10</v>
      </c>
      <c r="J426" s="391">
        <f ca="1">IFERROR(__xludf.DUMMYFUNCTION("IMPORTRANGE(""https://docs.google.com/spreadsheets/d/11923uPwbBZFjjGgGUA6NLw09EwE0CqkOc4q9oUmW1yo/edit?usp=sharing"",""ลำปาง!J321"")"),10)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IFERROR(__xludf.DUMMYFUNCTION("IMPORTRANGE(""https://docs.google.com/spreadsheets/d/11923uPwbBZFjjGgGUA6NLw09EwE0CqkOc4q9oUmW1yo/edit?usp=sharing"",""ลำปาง!I322"")"),30)</f>
        <v>30</v>
      </c>
      <c r="J427" s="392">
        <f ca="1">IFERROR(__xludf.DUMMYFUNCTION("IMPORTRANGE(""https://docs.google.com/spreadsheets/d/11923uPwbBZFjjGgGUA6NLw09EwE0CqkOc4q9oUmW1yo/edit?usp=sharing"",""ลำปาง!J322"")"),30)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IFERROR(__xludf.DUMMYFUNCTION("IMPORTRANGE(""https://docs.google.com/spreadsheets/d/11923uPwbBZFjjGgGUA6NLw09EwE0CqkOc4q9oUmW1yo/edit?usp=sharing"",""ลำปาง!I323"")"),10)</f>
        <v>10</v>
      </c>
      <c r="J428" s="393">
        <f ca="1">IFERROR(__xludf.DUMMYFUNCTION("IMPORTRANGE(""https://docs.google.com/spreadsheets/d/11923uPwbBZFjjGgGUA6NLw09EwE0CqkOc4q9oUmW1yo/edit?usp=sharing"",""ลำปาง!J323"")"),10)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IFERROR(__xludf.DUMMYFUNCTION("IMPORTRANGE(""https://docs.google.com/spreadsheets/d/11923uPwbBZFjjGgGUA6NLw09EwE0CqkOc4q9oUmW1yo/edit?usp=sharing"",""ลำปาง!I324"")"),10)</f>
        <v>10</v>
      </c>
      <c r="J429" s="393">
        <f ca="1">IFERROR(__xludf.DUMMYFUNCTION("IMPORTRANGE(""https://docs.google.com/spreadsheets/d/11923uPwbBZFjjGgGUA6NLw09EwE0CqkOc4q9oUmW1yo/edit?usp=sharing"",""ลำปาง!J324"")"),10)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IFERROR(__xludf.DUMMYFUNCTION("IMPORTRANGE(""https://docs.google.com/spreadsheets/d/11923uPwbBZFjjGgGUA6NLw09EwE0CqkOc4q9oUmW1yo/edit?usp=sharing"",""ลำปาง!I325"")"),30)</f>
        <v>30</v>
      </c>
      <c r="J430" s="391">
        <f ca="1">IFERROR(__xludf.DUMMYFUNCTION("IMPORTRANGE(""https://docs.google.com/spreadsheets/d/11923uPwbBZFjjGgGUA6NLw09EwE0CqkOc4q9oUmW1yo/edit?usp=sharing"",""ลำปาง!J325"")"),0)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IFERROR(__xludf.DUMMYFUNCTION("IMPORTRANGE(""https://docs.google.com/spreadsheets/d/11923uPwbBZFjjGgGUA6NLw09EwE0CqkOc4q9oUmW1yo/edit?usp=sharing"",""ลำปาง!I326"")"),10)</f>
        <v>10</v>
      </c>
      <c r="J431" s="393">
        <f ca="1">IFERROR(__xludf.DUMMYFUNCTION("IMPORTRANGE(""https://docs.google.com/spreadsheets/d/11923uPwbBZFjjGgGUA6NLw09EwE0CqkOc4q9oUmW1yo/edit?usp=sharing"",""ลำปาง!J326"")"),0)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IFERROR(__xludf.DUMMYFUNCTION("IMPORTRANGE(""https://docs.google.com/spreadsheets/d/11923uPwbBZFjjGgGUA6NLw09EwE0CqkOc4q9oUmW1yo/edit?usp=sharing"",""ลำปาง!I327"")"),20)</f>
        <v>20</v>
      </c>
      <c r="J432" s="393">
        <f ca="1">IFERROR(__xludf.DUMMYFUNCTION("IMPORTRANGE(""https://docs.google.com/spreadsheets/d/11923uPwbBZFjjGgGUA6NLw09EwE0CqkOc4q9oUmW1yo/edit?usp=sharing"",""ลำปาง!J327"")"),0)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IFERROR(__xludf.DUMMYFUNCTION("IMPORTRANGE(""https://docs.google.com/spreadsheets/d/11923uPwbBZFjjGgGUA6NLw09EwE0CqkOc4q9oUmW1yo/edit?usp=sharing"",""ลำปาง!J328"")"),0)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IFERROR(__xludf.DUMMYFUNCTION("IMPORTRANGE(""https://docs.google.com/spreadsheets/d/11923uPwbBZFjjGgGUA6NLw09EwE0CqkOc4q9oUmW1yo/edit?usp=sharing"",""ลำปาง!J329"")"),0)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IFERROR(__xludf.DUMMYFUNCTION("IMPORTRANGE(""https://docs.google.com/spreadsheets/d/11923uPwbBZFjjGgGUA6NLw09EwE0CqkOc4q9oUmW1yo/edit?usp=sharing"",""ลำปาง!I330"")"),15)</f>
        <v>15</v>
      </c>
      <c r="J435" s="409">
        <f ca="1">IFERROR(__xludf.DUMMYFUNCTION("IMPORTRANGE(""https://docs.google.com/spreadsheets/d/11923uPwbBZFjjGgGUA6NLw09EwE0CqkOc4q9oUmW1yo/edit?usp=sharing"",""ลำปาง!J330"")"),15)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IFERROR(__xludf.DUMMYFUNCTION("IMPORTRANGE(""https://docs.google.com/spreadsheets/d/11923uPwbBZFjjGgGUA6NLw09EwE0CqkOc4q9oUmW1yo/edit?usp=sharing"",""ลำปาง!L330"")"),106000)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IFERROR(__xludf.DUMMYFUNCTION("IMPORTRANGE(""https://docs.google.com/spreadsheets/d/11923uPwbBZFjjGgGUA6NLw09EwE0CqkOc4q9oUmW1yo/edit?usp=sharing"",""ลำปาง!M330"")"),67960.39)</f>
        <v>67960.39</v>
      </c>
      <c r="O435" s="411">
        <f t="shared" ref="O435:O439" ca="1" si="114">+IF(L435&gt;0,N435*100/L435,0)</f>
        <v>64.113575471698113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IFERROR(__xludf.DUMMYFUNCTION("IMPORTRANGE(""https://docs.google.com/spreadsheets/d/11923uPwbBZFjjGgGUA6NLw09EwE0CqkOc4q9oUmW1yo/edit?usp=sharing"",""ลำปาง!L331"")"),0)</f>
        <v>0</v>
      </c>
      <c r="M436" s="164"/>
      <c r="N436" s="168">
        <f ca="1">IFERROR(__xludf.DUMMYFUNCTION("IMPORTRANGE(""https://docs.google.com/spreadsheets/d/11923uPwbBZFjjGgGUA6NLw09EwE0CqkOc4q9oUmW1yo/edit?usp=sharing"",""ลำปาง!M331"")"),0)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IFERROR(__xludf.DUMMYFUNCTION("IMPORTRANGE(""https://docs.google.com/spreadsheets/d/11923uPwbBZFjjGgGUA6NLw09EwE0CqkOc4q9oUmW1yo/edit?usp=sharing"",""ลำปาง!L332"")"),106000)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IFERROR(__xludf.DUMMYFUNCTION("IMPORTRANGE(""https://docs.google.com/spreadsheets/d/11923uPwbBZFjjGgGUA6NLw09EwE0CqkOc4q9oUmW1yo/edit?usp=sharing"",""ลำปาง!M332"")"),67960.39)</f>
        <v>67960.39</v>
      </c>
      <c r="O437" s="168">
        <f t="shared" ca="1" si="114"/>
        <v>64.113575471698113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IFERROR(__xludf.DUMMYFUNCTION("IMPORTRANGE(""https://docs.google.com/spreadsheets/d/11923uPwbBZFjjGgGUA6NLw09EwE0CqkOc4q9oUmW1yo/edit?usp=sharing"",""ลำปาง!L333"")"),0)</f>
        <v>0</v>
      </c>
      <c r="M438" s="168"/>
      <c r="N438" s="168">
        <f ca="1">IFERROR(__xludf.DUMMYFUNCTION("IMPORTRANGE(""https://docs.google.com/spreadsheets/d/11923uPwbBZFjjGgGUA6NLw09EwE0CqkOc4q9oUmW1yo/edit?usp=sharing"",""ลำปาง!M333"")"),0)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IFERROR(__xludf.DUMMYFUNCTION("IMPORTRANGE(""https://docs.google.com/spreadsheets/d/11923uPwbBZFjjGgGUA6NLw09EwE0CqkOc4q9oUmW1yo/edit?usp=sharing"",""ลำปาง!L334"")"),106000)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IFERROR(__xludf.DUMMYFUNCTION("IMPORTRANGE(""https://docs.google.com/spreadsheets/d/11923uPwbBZFjjGgGUA6NLw09EwE0CqkOc4q9oUmW1yo/edit?usp=sharing"",""ลำปาง!M334"")"),67960.39)</f>
        <v>67960.39</v>
      </c>
      <c r="O439" s="168">
        <f t="shared" ca="1" si="114"/>
        <v>64.113575471698113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IFERROR(__xludf.DUMMYFUNCTION("IMPORTRANGE(""https://docs.google.com/spreadsheets/d/11923uPwbBZFjjGgGUA6NLw09EwE0CqkOc4q9oUmW1yo/edit?usp=sharing"",""ลำปาง!M335"")"),52200)</f>
        <v>52200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IFERROR(__xludf.DUMMYFUNCTION("IMPORTRANGE(""https://docs.google.com/spreadsheets/d/11923uPwbBZFjjGgGUA6NLw09EwE0CqkOc4q9oUmW1yo/edit?usp=sharing"",""ลำปาง!M336"")"),0)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IFERROR(__xludf.DUMMYFUNCTION("IMPORTRANGE(""https://docs.google.com/spreadsheets/d/11923uPwbBZFjjGgGUA6NLw09EwE0CqkOc4q9oUmW1yo/edit?usp=sharing"",""ลำปาง!M337"")"),0)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IFERROR(__xludf.DUMMYFUNCTION("IMPORTRANGE(""https://docs.google.com/spreadsheets/d/11923uPwbBZFjjGgGUA6NLw09EwE0CqkOc4q9oUmW1yo/edit?usp=sharing"",""ลำปาง!M338"")"),15760.39)</f>
        <v>15760.39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IFERROR(__xludf.DUMMYFUNCTION("IMPORTRANGE(""https://docs.google.com/spreadsheets/d/11923uPwbBZFjjGgGUA6NLw09EwE0CqkOc4q9oUmW1yo/edit?usp=sharing"",""ลำปาง!J340"")"),0)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IFERROR(__xludf.DUMMYFUNCTION("IMPORTRANGE(""https://docs.google.com/spreadsheets/d/11923uPwbBZFjjGgGUA6NLw09EwE0CqkOc4q9oUmW1yo/edit?usp=sharing"",""ลำปาง!J341"")"),1)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IFERROR(__xludf.DUMMYFUNCTION("IMPORTRANGE(""https://docs.google.com/spreadsheets/d/11923uPwbBZFjjGgGUA6NLw09EwE0CqkOc4q9oUmW1yo/edit?usp=sharing"",""ลำปาง!J342"")"),1)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IFERROR(__xludf.DUMMYFUNCTION("IMPORTRANGE(""https://docs.google.com/spreadsheets/d/11923uPwbBZFjjGgGUA6NLw09EwE0CqkOc4q9oUmW1yo/edit?usp=sharing"",""ลำปาง!J343"")"),1)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IFERROR(__xludf.DUMMYFUNCTION("IMPORTRANGE(""https://docs.google.com/spreadsheets/d/11923uPwbBZFjjGgGUA6NLw09EwE0CqkOc4q9oUmW1yo/edit?usp=sharing"",""ลำปาง!I344"")"),15)</f>
        <v>15</v>
      </c>
      <c r="J449" s="200">
        <f ca="1">IFERROR(__xludf.DUMMYFUNCTION("IMPORTRANGE(""https://docs.google.com/spreadsheets/d/11923uPwbBZFjjGgGUA6NLw09EwE0CqkOc4q9oUmW1yo/edit?usp=sharing"",""ลำปาง!J344"")"),15)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IFERROR(__xludf.DUMMYFUNCTION("IMPORTRANGE(""https://docs.google.com/spreadsheets/d/11923uPwbBZFjjGgGUA6NLw09EwE0CqkOc4q9oUmW1yo/edit?usp=sharing"",""ลำปาง!I345"")"),15)</f>
        <v>15</v>
      </c>
      <c r="J450" s="188">
        <f ca="1">IFERROR(__xludf.DUMMYFUNCTION("IMPORTRANGE(""https://docs.google.com/spreadsheets/d/11923uPwbBZFjjGgGUA6NLw09EwE0CqkOc4q9oUmW1yo/edit?usp=sharing"",""ลำปาง!J345"")"),15)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IFERROR(__xludf.DUMMYFUNCTION("IMPORTRANGE(""https://docs.google.com/spreadsheets/d/11923uPwbBZFjjGgGUA6NLw09EwE0CqkOc4q9oUmW1yo/edit?usp=sharing"",""ลำปาง!I346"")"),0)</f>
        <v>0</v>
      </c>
      <c r="J451" s="187">
        <f ca="1">IFERROR(__xludf.DUMMYFUNCTION("IMPORTRANGE(""https://docs.google.com/spreadsheets/d/11923uPwbBZFjjGgGUA6NLw09EwE0CqkOc4q9oUmW1yo/edit?usp=sharing"",""ลำปาง!J346"")"),0)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IFERROR(__xludf.DUMMYFUNCTION("IMPORTRANGE(""https://docs.google.com/spreadsheets/d/11923uPwbBZFjjGgGUA6NLw09EwE0CqkOc4q9oUmW1yo/edit?usp=sharing"",""ลำปาง!I347"")"),0)</f>
        <v>0</v>
      </c>
      <c r="J452" s="187">
        <f ca="1">IFERROR(__xludf.DUMMYFUNCTION("IMPORTRANGE(""https://docs.google.com/spreadsheets/d/11923uPwbBZFjjGgGUA6NLw09EwE0CqkOc4q9oUmW1yo/edit?usp=sharing"",""ลำปาง!J347"")"),0)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IFERROR(__xludf.DUMMYFUNCTION("IMPORTRANGE(""https://docs.google.com/spreadsheets/d/11923uPwbBZFjjGgGUA6NLw09EwE0CqkOc4q9oUmW1yo/edit?usp=sharing"",""ลำปาง!J348"")"),0)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IFERROR(__xludf.DUMMYFUNCTION("IMPORTRANGE(""https://docs.google.com/spreadsheets/d/11923uPwbBZFjjGgGUA6NLw09EwE0CqkOc4q9oUmW1yo/edit?usp=sharing"",""ลำปาง!J349"")"),0)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IFERROR(__xludf.DUMMYFUNCTION("IMPORTRANGE(""https://docs.google.com/spreadsheets/d/11923uPwbBZFjjGgGUA6NLw09EwE0CqkOc4q9oUmW1yo/edit?usp=sharing"",""ลำปาง!I350"")"),44744)</f>
        <v>44744</v>
      </c>
      <c r="J455" s="370">
        <f ca="1">IFERROR(__xludf.DUMMYFUNCTION("IMPORTRANGE(""https://docs.google.com/spreadsheets/d/11923uPwbBZFjjGgGUA6NLw09EwE0CqkOc4q9oUmW1yo/edit?usp=sharing"",""ลำปาง!J350"")"),44746)</f>
        <v>44746</v>
      </c>
      <c r="K455" s="371">
        <f ca="1">IF(I455&gt;0,J455*100/I455,0)</f>
        <v>100.00446987305561</v>
      </c>
      <c r="L455" s="372">
        <f ca="1">IFERROR(__xludf.DUMMYFUNCTION("IMPORTRANGE(""https://docs.google.com/spreadsheets/d/11923uPwbBZFjjGgGUA6NLw09EwE0CqkOc4q9oUmW1yo/edit?usp=sharing"",""ลำปาง!L350"")"),616700)</f>
        <v>616700</v>
      </c>
      <c r="M455" s="372"/>
      <c r="N455" s="372">
        <f ca="1">IFERROR(__xludf.DUMMYFUNCTION("IMPORTRANGE(""https://docs.google.com/spreadsheets/d/11923uPwbBZFjjGgGUA6NLw09EwE0CqkOc4q9oUmW1yo/edit?usp=sharing"",""ลำปาง!M350"")"),302001.58)</f>
        <v>302001.58</v>
      </c>
      <c r="O455" s="372">
        <f t="shared" ref="O455:O459" ca="1" si="116">+IF(L455&gt;0,N455*100/L455,0)</f>
        <v>48.970582130695639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IFERROR(__xludf.DUMMYFUNCTION("IMPORTRANGE(""https://docs.google.com/spreadsheets/d/11923uPwbBZFjjGgGUA6NLw09EwE0CqkOc4q9oUmW1yo/edit?usp=sharing"",""ลำปาง!L351"")"),0)</f>
        <v>0</v>
      </c>
      <c r="M456" s="164"/>
      <c r="N456" s="168">
        <f ca="1">IFERROR(__xludf.DUMMYFUNCTION("IMPORTRANGE(""https://docs.google.com/spreadsheets/d/11923uPwbBZFjjGgGUA6NLw09EwE0CqkOc4q9oUmW1yo/edit?usp=sharing"",""ลำปาง!M351"")"),0)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IFERROR(__xludf.DUMMYFUNCTION("IMPORTRANGE(""https://docs.google.com/spreadsheets/d/11923uPwbBZFjjGgGUA6NLw09EwE0CqkOc4q9oUmW1yo/edit?usp=sharing"",""ลำปาง!L352"")"),616700)</f>
        <v>616700</v>
      </c>
      <c r="M457" s="165"/>
      <c r="N457" s="168">
        <f ca="1">IFERROR(__xludf.DUMMYFUNCTION("IMPORTRANGE(""https://docs.google.com/spreadsheets/d/11923uPwbBZFjjGgGUA6NLw09EwE0CqkOc4q9oUmW1yo/edit?usp=sharing"",""ลำปาง!M352"")"),302001.58)</f>
        <v>302001.58</v>
      </c>
      <c r="O457" s="168">
        <f t="shared" ca="1" si="116"/>
        <v>48.970582130695639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IFERROR(__xludf.DUMMYFUNCTION("IMPORTRANGE(""https://docs.google.com/spreadsheets/d/11923uPwbBZFjjGgGUA6NLw09EwE0CqkOc4q9oUmW1yo/edit?usp=sharing"",""ลำปาง!L353"")"),0)</f>
        <v>0</v>
      </c>
      <c r="M458" s="168"/>
      <c r="N458" s="168">
        <f ca="1">IFERROR(__xludf.DUMMYFUNCTION("IMPORTRANGE(""https://docs.google.com/spreadsheets/d/11923uPwbBZFjjGgGUA6NLw09EwE0CqkOc4q9oUmW1yo/edit?usp=sharing"",""ลำปาง!M353"")"),0)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IFERROR(__xludf.DUMMYFUNCTION("IMPORTRANGE(""https://docs.google.com/spreadsheets/d/11923uPwbBZFjjGgGUA6NLw09EwE0CqkOc4q9oUmW1yo/edit?usp=sharing"",""ลำปาง!L354"")"),616700)</f>
        <v>616700</v>
      </c>
      <c r="M459" s="168"/>
      <c r="N459" s="168">
        <f ca="1">IFERROR(__xludf.DUMMYFUNCTION("IMPORTRANGE(""https://docs.google.com/spreadsheets/d/11923uPwbBZFjjGgGUA6NLw09EwE0CqkOc4q9oUmW1yo/edit?usp=sharing"",""ลำปาง!M354"")"),302001.58)</f>
        <v>302001.58</v>
      </c>
      <c r="O459" s="168">
        <f t="shared" ca="1" si="116"/>
        <v>48.970582130695639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IFERROR(__xludf.DUMMYFUNCTION("IMPORTRANGE(""https://docs.google.com/spreadsheets/d/11923uPwbBZFjjGgGUA6NLw09EwE0CqkOc4q9oUmW1yo/edit?usp=sharing"",""ลำปาง!M355"")"),0)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IFERROR(__xludf.DUMMYFUNCTION("IMPORTRANGE(""https://docs.google.com/spreadsheets/d/11923uPwbBZFjjGgGUA6NLw09EwE0CqkOc4q9oUmW1yo/edit?usp=sharing"",""ลำปาง!M356"")"),0)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IFERROR(__xludf.DUMMYFUNCTION("IMPORTRANGE(""https://docs.google.com/spreadsheets/d/11923uPwbBZFjjGgGUA6NLw09EwE0CqkOc4q9oUmW1yo/edit?usp=sharing"",""ลำปาง!M357"")"),85433.38)</f>
        <v>85433.38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IFERROR(__xludf.DUMMYFUNCTION("IMPORTRANGE(""https://docs.google.com/spreadsheets/d/11923uPwbBZFjjGgGUA6NLw09EwE0CqkOc4q9oUmW1yo/edit?usp=sharing"",""ลำปาง!M358"")"),216568.2)</f>
        <v>216568.2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IFERROR(__xludf.DUMMYFUNCTION("IMPORTRANGE(""https://docs.google.com/spreadsheets/d/11923uPwbBZFjjGgGUA6NLw09EwE0CqkOc4q9oUmW1yo/edit?usp=sharing"",""ลำปาง!I359"")"),44744)</f>
        <v>44744</v>
      </c>
      <c r="J464" s="267">
        <f ca="1">IFERROR(__xludf.DUMMYFUNCTION("IMPORTRANGE(""https://docs.google.com/spreadsheets/d/11923uPwbBZFjjGgGUA6NLw09EwE0CqkOc4q9oUmW1yo/edit?usp=sharing"",""ลำปาง!J359"")"),44746)</f>
        <v>44746</v>
      </c>
      <c r="K464" s="268">
        <f t="shared" ref="K464:K515" ca="1" si="117">IF(I464&gt;0,J464*100/I464,0)</f>
        <v>100.00446987305561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IFERROR(__xludf.DUMMYFUNCTION("IMPORTRANGE(""https://docs.google.com/spreadsheets/d/11923uPwbBZFjjGgGUA6NLw09EwE0CqkOc4q9oUmW1yo/edit?usp=sharing"",""ลำปาง!I360"")"),44744)</f>
        <v>44744</v>
      </c>
      <c r="J465" s="420">
        <f ca="1">IFERROR(__xludf.DUMMYFUNCTION("IMPORTRANGE(""https://docs.google.com/spreadsheets/d/11923uPwbBZFjjGgGUA6NLw09EwE0CqkOc4q9oUmW1yo/edit?usp=sharing"",""ลำปาง!J360"")"),44745.86)</f>
        <v>44745.86</v>
      </c>
      <c r="K465" s="201">
        <f t="shared" ca="1" si="117"/>
        <v>100.00415698194172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IFERROR(__xludf.DUMMYFUNCTION("IMPORTRANGE(""https://docs.google.com/spreadsheets/d/11923uPwbBZFjjGgGUA6NLw09EwE0CqkOc4q9oUmW1yo/edit?usp=sharing"",""ลำปาง!I361"")"),10122)</f>
        <v>10122</v>
      </c>
      <c r="J466" s="420">
        <f ca="1">IFERROR(__xludf.DUMMYFUNCTION("IMPORTRANGE(""https://docs.google.com/spreadsheets/d/11923uPwbBZFjjGgGUA6NLw09EwE0CqkOc4q9oUmW1yo/edit?usp=sharing"",""ลำปาง!J361"")"),10122)</f>
        <v>10122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IFERROR(__xludf.DUMMYFUNCTION("IMPORTRANGE(""https://docs.google.com/spreadsheets/d/11923uPwbBZFjjGgGUA6NLw09EwE0CqkOc4q9oUmW1yo/edit?usp=sharing"",""ลำปาง!I362"")"),0)</f>
        <v>0</v>
      </c>
      <c r="J467" s="188">
        <f ca="1">IFERROR(__xludf.DUMMYFUNCTION("IMPORTRANGE(""https://docs.google.com/spreadsheets/d/11923uPwbBZFjjGgGUA6NLw09EwE0CqkOc4q9oUmW1yo/edit?usp=sharing"",""ลำปาง!J362"")"),39549.86)</f>
        <v>39549.86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IFERROR(__xludf.DUMMYFUNCTION("IMPORTRANGE(""https://docs.google.com/spreadsheets/d/11923uPwbBZFjjGgGUA6NLw09EwE0CqkOc4q9oUmW1yo/edit?usp=sharing"",""ลำปาง!I363"")"),0)</f>
        <v>0</v>
      </c>
      <c r="J468" s="188">
        <f ca="1">IFERROR(__xludf.DUMMYFUNCTION("IMPORTRANGE(""https://docs.google.com/spreadsheets/d/11923uPwbBZFjjGgGUA6NLw09EwE0CqkOc4q9oUmW1yo/edit?usp=sharing"",""ลำปาง!J363"")"),9246)</f>
        <v>9246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IFERROR(__xludf.DUMMYFUNCTION("IMPORTRANGE(""https://docs.google.com/spreadsheets/d/11923uPwbBZFjjGgGUA6NLw09EwE0CqkOc4q9oUmW1yo/edit?usp=sharing"",""ลำปาง!I364"")"),0)</f>
        <v>0</v>
      </c>
      <c r="J469" s="188">
        <f ca="1">IFERROR(__xludf.DUMMYFUNCTION("IMPORTRANGE(""https://docs.google.com/spreadsheets/d/11923uPwbBZFjjGgGUA6NLw09EwE0CqkOc4q9oUmW1yo/edit?usp=sharing"",""ลำปาง!J364"")"),3960)</f>
        <v>3960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IFERROR(__xludf.DUMMYFUNCTION("IMPORTRANGE(""https://docs.google.com/spreadsheets/d/11923uPwbBZFjjGgGUA6NLw09EwE0CqkOc4q9oUmW1yo/edit?usp=sharing"",""ลำปาง!I365"")"),0)</f>
        <v>0</v>
      </c>
      <c r="J470" s="188">
        <f ca="1">IFERROR(__xludf.DUMMYFUNCTION("IMPORTRANGE(""https://docs.google.com/spreadsheets/d/11923uPwbBZFjjGgGUA6NLw09EwE0CqkOc4q9oUmW1yo/edit?usp=sharing"",""ลำปาง!J365"")"),619)</f>
        <v>619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IFERROR(__xludf.DUMMYFUNCTION("IMPORTRANGE(""https://docs.google.com/spreadsheets/d/11923uPwbBZFjjGgGUA6NLw09EwE0CqkOc4q9oUmW1yo/edit?usp=sharing"",""ลำปาง!I366"")"),0)</f>
        <v>0</v>
      </c>
      <c r="J471" s="188">
        <f ca="1">IFERROR(__xludf.DUMMYFUNCTION("IMPORTRANGE(""https://docs.google.com/spreadsheets/d/11923uPwbBZFjjGgGUA6NLw09EwE0CqkOc4q9oUmW1yo/edit?usp=sharing"",""ลำปาง!J366"")"),1236)</f>
        <v>1236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IFERROR(__xludf.DUMMYFUNCTION("IMPORTRANGE(""https://docs.google.com/spreadsheets/d/11923uPwbBZFjjGgGUA6NLw09EwE0CqkOc4q9oUmW1yo/edit?usp=sharing"",""ลำปาง!I367"")"),0)</f>
        <v>0</v>
      </c>
      <c r="J472" s="188">
        <f ca="1">IFERROR(__xludf.DUMMYFUNCTION("IMPORTRANGE(""https://docs.google.com/spreadsheets/d/11923uPwbBZFjjGgGUA6NLw09EwE0CqkOc4q9oUmW1yo/edit?usp=sharing"",""ลำปาง!J367"")"),257)</f>
        <v>257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IFERROR(__xludf.DUMMYFUNCTION("IMPORTRANGE(""https://docs.google.com/spreadsheets/d/11923uPwbBZFjjGgGUA6NLw09EwE0CqkOc4q9oUmW1yo/edit?usp=sharing"",""ลำปาง!I368"")"),44744)</f>
        <v>44744</v>
      </c>
      <c r="J473" s="420">
        <f ca="1">IFERROR(__xludf.DUMMYFUNCTION("IMPORTRANGE(""https://docs.google.com/spreadsheets/d/11923uPwbBZFjjGgGUA6NLw09EwE0CqkOc4q9oUmW1yo/edit?usp=sharing"",""ลำปาง!J368"")"),44745.86)</f>
        <v>44745.86</v>
      </c>
      <c r="K473" s="201">
        <f t="shared" ca="1" si="117"/>
        <v>100.00415698194172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IFERROR(__xludf.DUMMYFUNCTION("IMPORTRANGE(""https://docs.google.com/spreadsheets/d/11923uPwbBZFjjGgGUA6NLw09EwE0CqkOc4q9oUmW1yo/edit?usp=sharing"",""ลำปาง!I369"")"),10122)</f>
        <v>10122</v>
      </c>
      <c r="J474" s="420">
        <f ca="1">IFERROR(__xludf.DUMMYFUNCTION("IMPORTRANGE(""https://docs.google.com/spreadsheets/d/11923uPwbBZFjjGgGUA6NLw09EwE0CqkOc4q9oUmW1yo/edit?usp=sharing"",""ลำปาง!J369"")"),10122)</f>
        <v>10122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IFERROR(__xludf.DUMMYFUNCTION("IMPORTRANGE(""https://docs.google.com/spreadsheets/d/11923uPwbBZFjjGgGUA6NLw09EwE0CqkOc4q9oUmW1yo/edit?usp=sharing"",""ลำปาง!I370"")"),0)</f>
        <v>0</v>
      </c>
      <c r="J475" s="188">
        <f ca="1">IFERROR(__xludf.DUMMYFUNCTION("IMPORTRANGE(""https://docs.google.com/spreadsheets/d/11923uPwbBZFjjGgGUA6NLw09EwE0CqkOc4q9oUmW1yo/edit?usp=sharing"",""ลำปาง!J370"")"),39169.86)</f>
        <v>39169.86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IFERROR(__xludf.DUMMYFUNCTION("IMPORTRANGE(""https://docs.google.com/spreadsheets/d/11923uPwbBZFjjGgGUA6NLw09EwE0CqkOc4q9oUmW1yo/edit?usp=sharing"",""ลำปาง!I371"")"),0)</f>
        <v>0</v>
      </c>
      <c r="J476" s="188">
        <f ca="1">IFERROR(__xludf.DUMMYFUNCTION("IMPORTRANGE(""https://docs.google.com/spreadsheets/d/11923uPwbBZFjjGgGUA6NLw09EwE0CqkOc4q9oUmW1yo/edit?usp=sharing"",""ลำปาง!J371"")"),9220)</f>
        <v>9220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IFERROR(__xludf.DUMMYFUNCTION("IMPORTRANGE(""https://docs.google.com/spreadsheets/d/11923uPwbBZFjjGgGUA6NLw09EwE0CqkOc4q9oUmW1yo/edit?usp=sharing"",""ลำปาง!I372"")"),0)</f>
        <v>0</v>
      </c>
      <c r="J477" s="188">
        <f ca="1">IFERROR(__xludf.DUMMYFUNCTION("IMPORTRANGE(""https://docs.google.com/spreadsheets/d/11923uPwbBZFjjGgGUA6NLw09EwE0CqkOc4q9oUmW1yo/edit?usp=sharing"",""ลำปาง!J372"")"),4086)</f>
        <v>4086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IFERROR(__xludf.DUMMYFUNCTION("IMPORTRANGE(""https://docs.google.com/spreadsheets/d/11923uPwbBZFjjGgGUA6NLw09EwE0CqkOc4q9oUmW1yo/edit?usp=sharing"",""ลำปาง!I373"")"),0)</f>
        <v>0</v>
      </c>
      <c r="J478" s="188">
        <f ca="1">IFERROR(__xludf.DUMMYFUNCTION("IMPORTRANGE(""https://docs.google.com/spreadsheets/d/11923uPwbBZFjjGgGUA6NLw09EwE0CqkOc4q9oUmW1yo/edit?usp=sharing"",""ลำปาง!J373"")"),596)</f>
        <v>596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IFERROR(__xludf.DUMMYFUNCTION("IMPORTRANGE(""https://docs.google.com/spreadsheets/d/11923uPwbBZFjjGgGUA6NLw09EwE0CqkOc4q9oUmW1yo/edit?usp=sharing"",""ลำปาง!I374"")"),0)</f>
        <v>0</v>
      </c>
      <c r="J479" s="188">
        <f ca="1">IFERROR(__xludf.DUMMYFUNCTION("IMPORTRANGE(""https://docs.google.com/spreadsheets/d/11923uPwbBZFjjGgGUA6NLw09EwE0CqkOc4q9oUmW1yo/edit?usp=sharing"",""ลำปาง!J374"")"),1490)</f>
        <v>1490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IFERROR(__xludf.DUMMYFUNCTION("IMPORTRANGE(""https://docs.google.com/spreadsheets/d/11923uPwbBZFjjGgGUA6NLw09EwE0CqkOc4q9oUmW1yo/edit?usp=sharing"",""ลำปาง!I375"")"),0)</f>
        <v>0</v>
      </c>
      <c r="J480" s="188">
        <f ca="1">IFERROR(__xludf.DUMMYFUNCTION("IMPORTRANGE(""https://docs.google.com/spreadsheets/d/11923uPwbBZFjjGgGUA6NLw09EwE0CqkOc4q9oUmW1yo/edit?usp=sharing"",""ลำปาง!J375"")"),306)</f>
        <v>306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IFERROR(__xludf.DUMMYFUNCTION("IMPORTRANGE(""https://docs.google.com/spreadsheets/d/11923uPwbBZFjjGgGUA6NLw09EwE0CqkOc4q9oUmW1yo/edit?usp=sharing"",""ลำปาง!I376"")"),44744)</f>
        <v>44744</v>
      </c>
      <c r="J481" s="420">
        <f ca="1">IFERROR(__xludf.DUMMYFUNCTION("IMPORTRANGE(""https://docs.google.com/spreadsheets/d/11923uPwbBZFjjGgGUA6NLw09EwE0CqkOc4q9oUmW1yo/edit?usp=sharing"",""ลำปาง!J376"")"),44746)</f>
        <v>44746</v>
      </c>
      <c r="K481" s="201">
        <f t="shared" ca="1" si="117"/>
        <v>100.00446987305561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IFERROR(__xludf.DUMMYFUNCTION("IMPORTRANGE(""https://docs.google.com/spreadsheets/d/11923uPwbBZFjjGgGUA6NLw09EwE0CqkOc4q9oUmW1yo/edit?usp=sharing"",""ลำปาง!I377"")"),10122)</f>
        <v>10122</v>
      </c>
      <c r="J482" s="420">
        <f ca="1">IFERROR(__xludf.DUMMYFUNCTION("IMPORTRANGE(""https://docs.google.com/spreadsheets/d/11923uPwbBZFjjGgGUA6NLw09EwE0CqkOc4q9oUmW1yo/edit?usp=sharing"",""ลำปาง!J377"")"),10122)</f>
        <v>10122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IFERROR(__xludf.DUMMYFUNCTION("IMPORTRANGE(""https://docs.google.com/spreadsheets/d/11923uPwbBZFjjGgGUA6NLw09EwE0CqkOc4q9oUmW1yo/edit?usp=sharing"",""ลำปาง!I378"")"),0)</f>
        <v>0</v>
      </c>
      <c r="J483" s="188">
        <f ca="1">IFERROR(__xludf.DUMMYFUNCTION("IMPORTRANGE(""https://docs.google.com/spreadsheets/d/11923uPwbBZFjjGgGUA6NLw09EwE0CqkOc4q9oUmW1yo/edit?usp=sharing"",""ลำปาง!J378"")"),39170)</f>
        <v>39170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IFERROR(__xludf.DUMMYFUNCTION("IMPORTRANGE(""https://docs.google.com/spreadsheets/d/11923uPwbBZFjjGgGUA6NLw09EwE0CqkOc4q9oUmW1yo/edit?usp=sharing"",""ลำปาง!I379"")"),0)</f>
        <v>0</v>
      </c>
      <c r="J484" s="188">
        <f ca="1">IFERROR(__xludf.DUMMYFUNCTION("IMPORTRANGE(""https://docs.google.com/spreadsheets/d/11923uPwbBZFjjGgGUA6NLw09EwE0CqkOc4q9oUmW1yo/edit?usp=sharing"",""ลำปาง!J379"")"),9220)</f>
        <v>9220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IFERROR(__xludf.DUMMYFUNCTION("IMPORTRANGE(""https://docs.google.com/spreadsheets/d/11923uPwbBZFjjGgGUA6NLw09EwE0CqkOc4q9oUmW1yo/edit?usp=sharing"",""ลำปาง!I380"")"),0)</f>
        <v>0</v>
      </c>
      <c r="J485" s="188">
        <f ca="1">IFERROR(__xludf.DUMMYFUNCTION("IMPORTRANGE(""https://docs.google.com/spreadsheets/d/11923uPwbBZFjjGgGUA6NLw09EwE0CqkOc4q9oUmW1yo/edit?usp=sharing"",""ลำปาง!J380"")"),4086)</f>
        <v>4086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IFERROR(__xludf.DUMMYFUNCTION("IMPORTRANGE(""https://docs.google.com/spreadsheets/d/11923uPwbBZFjjGgGUA6NLw09EwE0CqkOc4q9oUmW1yo/edit?usp=sharing"",""ลำปาง!I381"")"),0)</f>
        <v>0</v>
      </c>
      <c r="J486" s="188">
        <f ca="1">IFERROR(__xludf.DUMMYFUNCTION("IMPORTRANGE(""https://docs.google.com/spreadsheets/d/11923uPwbBZFjjGgGUA6NLw09EwE0CqkOc4q9oUmW1yo/edit?usp=sharing"",""ลำปาง!J381"")"),596)</f>
        <v>596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IFERROR(__xludf.DUMMYFUNCTION("IMPORTRANGE(""https://docs.google.com/spreadsheets/d/11923uPwbBZFjjGgGUA6NLw09EwE0CqkOc4q9oUmW1yo/edit?usp=sharing"",""ลำปาง!I382"")"),0)</f>
        <v>0</v>
      </c>
      <c r="J487" s="420">
        <f ca="1">IFERROR(__xludf.DUMMYFUNCTION("IMPORTRANGE(""https://docs.google.com/spreadsheets/d/11923uPwbBZFjjGgGUA6NLw09EwE0CqkOc4q9oUmW1yo/edit?usp=sharing"",""ลำปาง!J382"")"),1490)</f>
        <v>1490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IFERROR(__xludf.DUMMYFUNCTION("IMPORTRANGE(""https://docs.google.com/spreadsheets/d/11923uPwbBZFjjGgGUA6NLw09EwE0CqkOc4q9oUmW1yo/edit?usp=sharing"",""ลำปาง!I383"")"),0)</f>
        <v>0</v>
      </c>
      <c r="J488" s="420">
        <f ca="1">IFERROR(__xludf.DUMMYFUNCTION("IMPORTRANGE(""https://docs.google.com/spreadsheets/d/11923uPwbBZFjjGgGUA6NLw09EwE0CqkOc4q9oUmW1yo/edit?usp=sharing"",""ลำปาง!J383"")"),306)</f>
        <v>306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IFERROR(__xludf.DUMMYFUNCTION("IMPORTRANGE(""https://docs.google.com/spreadsheets/d/11923uPwbBZFjjGgGUA6NLw09EwE0CqkOc4q9oUmW1yo/edit?usp=sharing"",""ลำปาง!I384"")"),0)</f>
        <v>0</v>
      </c>
      <c r="J489" s="188">
        <f ca="1">IFERROR(__xludf.DUMMYFUNCTION("IMPORTRANGE(""https://docs.google.com/spreadsheets/d/11923uPwbBZFjjGgGUA6NLw09EwE0CqkOc4q9oUmW1yo/edit?usp=sharing"",""ลำปาง!J384"")"),1471)</f>
        <v>1471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IFERROR(__xludf.DUMMYFUNCTION("IMPORTRANGE(""https://docs.google.com/spreadsheets/d/11923uPwbBZFjjGgGUA6NLw09EwE0CqkOc4q9oUmW1yo/edit?usp=sharing"",""ลำปาง!I385"")"),0)</f>
        <v>0</v>
      </c>
      <c r="J490" s="188">
        <f ca="1">IFERROR(__xludf.DUMMYFUNCTION("IMPORTRANGE(""https://docs.google.com/spreadsheets/d/11923uPwbBZFjjGgGUA6NLw09EwE0CqkOc4q9oUmW1yo/edit?usp=sharing"",""ลำปาง!J385"")"),303)</f>
        <v>303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IFERROR(__xludf.DUMMYFUNCTION("IMPORTRANGE(""https://docs.google.com/spreadsheets/d/11923uPwbBZFjjGgGUA6NLw09EwE0CqkOc4q9oUmW1yo/edit?usp=sharing"",""ลำปาง!I386"")"),0)</f>
        <v>0</v>
      </c>
      <c r="J491" s="188">
        <f ca="1">IFERROR(__xludf.DUMMYFUNCTION("IMPORTRANGE(""https://docs.google.com/spreadsheets/d/11923uPwbBZFjjGgGUA6NLw09EwE0CqkOc4q9oUmW1yo/edit?usp=sharing"",""ลำปาง!J386"")"),19)</f>
        <v>19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IFERROR(__xludf.DUMMYFUNCTION("IMPORTRANGE(""https://docs.google.com/spreadsheets/d/11923uPwbBZFjjGgGUA6NLw09EwE0CqkOc4q9oUmW1yo/edit?usp=sharing"",""ลำปาง!I387"")"),0)</f>
        <v>0</v>
      </c>
      <c r="J492" s="188">
        <f ca="1">IFERROR(__xludf.DUMMYFUNCTION("IMPORTRANGE(""https://docs.google.com/spreadsheets/d/11923uPwbBZFjjGgGUA6NLw09EwE0CqkOc4q9oUmW1yo/edit?usp=sharing"",""ลำปาง!J387"")"),3)</f>
        <v>3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IFERROR(__xludf.DUMMYFUNCTION("IMPORTRANGE(""https://docs.google.com/spreadsheets/d/11923uPwbBZFjjGgGUA6NLw09EwE0CqkOc4q9oUmW1yo/edit?usp=sharing"",""ลำปาง!I388"")"),0)</f>
        <v>0</v>
      </c>
      <c r="J493" s="188">
        <f ca="1">IFERROR(__xludf.DUMMYFUNCTION("IMPORTRANGE(""https://docs.google.com/spreadsheets/d/11923uPwbBZFjjGgGUA6NLw09EwE0CqkOc4q9oUmW1yo/edit?usp=sharing"",""ลำปาง!J388"")"),0)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IFERROR(__xludf.DUMMYFUNCTION("IMPORTRANGE(""https://docs.google.com/spreadsheets/d/11923uPwbBZFjjGgGUA6NLw09EwE0CqkOc4q9oUmW1yo/edit?usp=sharing"",""ลำปาง!I389"")"),0)</f>
        <v>0</v>
      </c>
      <c r="J494" s="436">
        <f ca="1">IFERROR(__xludf.DUMMYFUNCTION("IMPORTRANGE(""https://docs.google.com/spreadsheets/d/11923uPwbBZFjjGgGUA6NLw09EwE0CqkOc4q9oUmW1yo/edit?usp=sharing"",""ลำปาง!J389"")"),0)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IFERROR(__xludf.DUMMYFUNCTION("IMPORTRANGE(""https://docs.google.com/spreadsheets/d/11923uPwbBZFjjGgGUA6NLw09EwE0CqkOc4q9oUmW1yo/edit?usp=sharing"",""ลำปาง!I390"")"),0)</f>
        <v>0</v>
      </c>
      <c r="J495" s="436">
        <f ca="1">IFERROR(__xludf.DUMMYFUNCTION("IMPORTRANGE(""https://docs.google.com/spreadsheets/d/11923uPwbBZFjjGgGUA6NLw09EwE0CqkOc4q9oUmW1yo/edit?usp=sharing"",""ลำปาง!J390"")"),0)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IFERROR(__xludf.DUMMYFUNCTION("IMPORTRANGE(""https://docs.google.com/spreadsheets/d/11923uPwbBZFjjGgGUA6NLw09EwE0CqkOc4q9oUmW1yo/edit?usp=sharing"",""ลำปาง!I391"")"),0)</f>
        <v>0</v>
      </c>
      <c r="J496" s="436">
        <f ca="1">IFERROR(__xludf.DUMMYFUNCTION("IMPORTRANGE(""https://docs.google.com/spreadsheets/d/11923uPwbBZFjjGgGUA6NLw09EwE0CqkOc4q9oUmW1yo/edit?usp=sharing"",""ลำปาง!J391"")"),0)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IFERROR(__xludf.DUMMYFUNCTION("IMPORTRANGE(""https://docs.google.com/spreadsheets/d/11923uPwbBZFjjGgGUA6NLw09EwE0CqkOc4q9oUmW1yo/edit?usp=sharing"",""ลำปาง!I392"")"),2837)</f>
        <v>2837</v>
      </c>
      <c r="J497" s="443">
        <f ca="1">IFERROR(__xludf.DUMMYFUNCTION("IMPORTRANGE(""https://docs.google.com/spreadsheets/d/11923uPwbBZFjjGgGUA6NLw09EwE0CqkOc4q9oUmW1yo/edit?usp=sharing"",""ลำปาง!J392"")"),2837)</f>
        <v>2837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IFERROR(__xludf.DUMMYFUNCTION("IMPORTRANGE(""https://docs.google.com/spreadsheets/d/11923uPwbBZFjjGgGUA6NLw09EwE0CqkOc4q9oUmW1yo/edit?usp=sharing"",""ลำปาง!I393"")"),2837)</f>
        <v>2837</v>
      </c>
      <c r="J498" s="420">
        <f ca="1">IFERROR(__xludf.DUMMYFUNCTION("IMPORTRANGE(""https://docs.google.com/spreadsheets/d/11923uPwbBZFjjGgGUA6NLw09EwE0CqkOc4q9oUmW1yo/edit?usp=sharing"",""ลำปาง!J393"")"),2837)</f>
        <v>2837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IFERROR(__xludf.DUMMYFUNCTION("IMPORTRANGE(""https://docs.google.com/spreadsheets/d/11923uPwbBZFjjGgGUA6NLw09EwE0CqkOc4q9oUmW1yo/edit?usp=sharing"",""ลำปาง!I394"")"),353)</f>
        <v>353</v>
      </c>
      <c r="J499" s="420">
        <f ca="1">IFERROR(__xludf.DUMMYFUNCTION("IMPORTRANGE(""https://docs.google.com/spreadsheets/d/11923uPwbBZFjjGgGUA6NLw09EwE0CqkOc4q9oUmW1yo/edit?usp=sharing"",""ลำปาง!J394"")"),353)</f>
        <v>353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IFERROR(__xludf.DUMMYFUNCTION("IMPORTRANGE(""https://docs.google.com/spreadsheets/d/11923uPwbBZFjjGgGUA6NLw09EwE0CqkOc4q9oUmW1yo/edit?usp=sharing"",""ลำปาง!I395"")"),0)</f>
        <v>0</v>
      </c>
      <c r="J500" s="162">
        <f ca="1">IFERROR(__xludf.DUMMYFUNCTION("IMPORTRANGE(""https://docs.google.com/spreadsheets/d/11923uPwbBZFjjGgGUA6NLw09EwE0CqkOc4q9oUmW1yo/edit?usp=sharing"",""ลำปาง!J395"")"),2837)</f>
        <v>2837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IFERROR(__xludf.DUMMYFUNCTION("IMPORTRANGE(""https://docs.google.com/spreadsheets/d/11923uPwbBZFjjGgGUA6NLw09EwE0CqkOc4q9oUmW1yo/edit?usp=sharing"",""ลำปาง!I396"")"),0)</f>
        <v>0</v>
      </c>
      <c r="J501" s="162">
        <f ca="1">IFERROR(__xludf.DUMMYFUNCTION("IMPORTRANGE(""https://docs.google.com/spreadsheets/d/11923uPwbBZFjjGgGUA6NLw09EwE0CqkOc4q9oUmW1yo/edit?usp=sharing"",""ลำปาง!J396"")"),353)</f>
        <v>353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IFERROR(__xludf.DUMMYFUNCTION("IMPORTRANGE(""https://docs.google.com/spreadsheets/d/11923uPwbBZFjjGgGUA6NLw09EwE0CqkOc4q9oUmW1yo/edit?usp=sharing"",""ลำปาง!I397"")"),0)</f>
        <v>0</v>
      </c>
      <c r="J502" s="188">
        <f ca="1">IFERROR(__xludf.DUMMYFUNCTION("IMPORTRANGE(""https://docs.google.com/spreadsheets/d/11923uPwbBZFjjGgGUA6NLw09EwE0CqkOc4q9oUmW1yo/edit?usp=sharing"",""ลำปาง!J397"")"),2776)</f>
        <v>2776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IFERROR(__xludf.DUMMYFUNCTION("IMPORTRANGE(""https://docs.google.com/spreadsheets/d/11923uPwbBZFjjGgGUA6NLw09EwE0CqkOc4q9oUmW1yo/edit?usp=sharing"",""ลำปาง!I398"")"),0)</f>
        <v>0</v>
      </c>
      <c r="J503" s="197">
        <f ca="1">IFERROR(__xludf.DUMMYFUNCTION("IMPORTRANGE(""https://docs.google.com/spreadsheets/d/11923uPwbBZFjjGgGUA6NLw09EwE0CqkOc4q9oUmW1yo/edit?usp=sharing"",""ลำปาง!J398"")"),341)</f>
        <v>341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IFERROR(__xludf.DUMMYFUNCTION("IMPORTRANGE(""https://docs.google.com/spreadsheets/d/11923uPwbBZFjjGgGUA6NLw09EwE0CqkOc4q9oUmW1yo/edit?usp=sharing"",""ลำปาง!I399"")"),0)</f>
        <v>0</v>
      </c>
      <c r="J504" s="188">
        <f ca="1">IFERROR(__xludf.DUMMYFUNCTION("IMPORTRANGE(""https://docs.google.com/spreadsheets/d/11923uPwbBZFjjGgGUA6NLw09EwE0CqkOc4q9oUmW1yo/edit?usp=sharing"",""ลำปาง!J399"")"),61)</f>
        <v>61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IFERROR(__xludf.DUMMYFUNCTION("IMPORTRANGE(""https://docs.google.com/spreadsheets/d/11923uPwbBZFjjGgGUA6NLw09EwE0CqkOc4q9oUmW1yo/edit?usp=sharing"",""ลำปาง!I400"")"),0)</f>
        <v>0</v>
      </c>
      <c r="J505" s="197">
        <f ca="1">IFERROR(__xludf.DUMMYFUNCTION("IMPORTRANGE(""https://docs.google.com/spreadsheets/d/11923uPwbBZFjjGgGUA6NLw09EwE0CqkOc4q9oUmW1yo/edit?usp=sharing"",""ลำปาง!J400"")"),12)</f>
        <v>12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IFERROR(__xludf.DUMMYFUNCTION("IMPORTRANGE(""https://docs.google.com/spreadsheets/d/11923uPwbBZFjjGgGUA6NLw09EwE0CqkOc4q9oUmW1yo/edit?usp=sharing"",""ลำปาง!I401"")"),0)</f>
        <v>0</v>
      </c>
      <c r="J506" s="188">
        <f ca="1">IFERROR(__xludf.DUMMYFUNCTION("IMPORTRANGE(""https://docs.google.com/spreadsheets/d/11923uPwbBZFjjGgGUA6NLw09EwE0CqkOc4q9oUmW1yo/edit?usp=sharing"",""ลำปาง!J401"")"),0)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IFERROR(__xludf.DUMMYFUNCTION("IMPORTRANGE(""https://docs.google.com/spreadsheets/d/11923uPwbBZFjjGgGUA6NLw09EwE0CqkOc4q9oUmW1yo/edit?usp=sharing"",""ลำปาง!I402"")"),0)</f>
        <v>0</v>
      </c>
      <c r="J507" s="197">
        <f ca="1">IFERROR(__xludf.DUMMYFUNCTION("IMPORTRANGE(""https://docs.google.com/spreadsheets/d/11923uPwbBZFjjGgGUA6NLw09EwE0CqkOc4q9oUmW1yo/edit?usp=sharing"",""ลำปาง!J402"")"),0)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IFERROR(__xludf.DUMMYFUNCTION("IMPORTRANGE(""https://docs.google.com/spreadsheets/d/11923uPwbBZFjjGgGUA6NLw09EwE0CqkOc4q9oUmW1yo/edit?usp=sharing"",""ลำปาง!I403"")"),0)</f>
        <v>0</v>
      </c>
      <c r="J508" s="162">
        <f ca="1">IFERROR(__xludf.DUMMYFUNCTION("IMPORTRANGE(""https://docs.google.com/spreadsheets/d/11923uPwbBZFjjGgGUA6NLw09EwE0CqkOc4q9oUmW1yo/edit?usp=sharing"",""ลำปาง!J403"")"),0)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IFERROR(__xludf.DUMMYFUNCTION("IMPORTRANGE(""https://docs.google.com/spreadsheets/d/11923uPwbBZFjjGgGUA6NLw09EwE0CqkOc4q9oUmW1yo/edit?usp=sharing"",""ลำปาง!I404"")"),0)</f>
        <v>0</v>
      </c>
      <c r="J509" s="162">
        <f ca="1">IFERROR(__xludf.DUMMYFUNCTION("IMPORTRANGE(""https://docs.google.com/spreadsheets/d/11923uPwbBZFjjGgGUA6NLw09EwE0CqkOc4q9oUmW1yo/edit?usp=sharing"",""ลำปาง!J404"")"),0)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IFERROR(__xludf.DUMMYFUNCTION("IMPORTRANGE(""https://docs.google.com/spreadsheets/d/11923uPwbBZFjjGgGUA6NLw09EwE0CqkOc4q9oUmW1yo/edit?usp=sharing"",""ลำปาง!I405"")"),0)</f>
        <v>0</v>
      </c>
      <c r="J510" s="197">
        <f ca="1">IFERROR(__xludf.DUMMYFUNCTION("IMPORTRANGE(""https://docs.google.com/spreadsheets/d/11923uPwbBZFjjGgGUA6NLw09EwE0CqkOc4q9oUmW1yo/edit?usp=sharing"",""ลำปาง!J405"")"),0)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IFERROR(__xludf.DUMMYFUNCTION("IMPORTRANGE(""https://docs.google.com/spreadsheets/d/11923uPwbBZFjjGgGUA6NLw09EwE0CqkOc4q9oUmW1yo/edit?usp=sharing"",""ลำปาง!I406"")"),0)</f>
        <v>0</v>
      </c>
      <c r="J511" s="197">
        <f ca="1">IFERROR(__xludf.DUMMYFUNCTION("IMPORTRANGE(""https://docs.google.com/spreadsheets/d/11923uPwbBZFjjGgGUA6NLw09EwE0CqkOc4q9oUmW1yo/edit?usp=sharing"",""ลำปาง!J406"")"),0)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IFERROR(__xludf.DUMMYFUNCTION("IMPORTRANGE(""https://docs.google.com/spreadsheets/d/11923uPwbBZFjjGgGUA6NLw09EwE0CqkOc4q9oUmW1yo/edit?usp=sharing"",""ลำปาง!I407"")"),0)</f>
        <v>0</v>
      </c>
      <c r="J512" s="197">
        <f ca="1">IFERROR(__xludf.DUMMYFUNCTION("IMPORTRANGE(""https://docs.google.com/spreadsheets/d/11923uPwbBZFjjGgGUA6NLw09EwE0CqkOc4q9oUmW1yo/edit?usp=sharing"",""ลำปาง!J407"")"),0)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IFERROR(__xludf.DUMMYFUNCTION("IMPORTRANGE(""https://docs.google.com/spreadsheets/d/11923uPwbBZFjjGgGUA6NLw09EwE0CqkOc4q9oUmW1yo/edit?usp=sharing"",""ลำปาง!I408"")"),0)</f>
        <v>0</v>
      </c>
      <c r="J513" s="197">
        <f ca="1">IFERROR(__xludf.DUMMYFUNCTION("IMPORTRANGE(""https://docs.google.com/spreadsheets/d/11923uPwbBZFjjGgGUA6NLw09EwE0CqkOc4q9oUmW1yo/edit?usp=sharing"",""ลำปาง!J408"")"),0)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IFERROR(__xludf.DUMMYFUNCTION("IMPORTRANGE(""https://docs.google.com/spreadsheets/d/11923uPwbBZFjjGgGUA6NLw09EwE0CqkOc4q9oUmW1yo/edit?usp=sharing"",""ลำปาง!I409"")"),0)</f>
        <v>0</v>
      </c>
      <c r="J514" s="197">
        <f ca="1">IFERROR(__xludf.DUMMYFUNCTION("IMPORTRANGE(""https://docs.google.com/spreadsheets/d/11923uPwbBZFjjGgGUA6NLw09EwE0CqkOc4q9oUmW1yo/edit?usp=sharing"",""ลำปาง!J409"")"),0)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IFERROR(__xludf.DUMMYFUNCTION("IMPORTRANGE(""https://docs.google.com/spreadsheets/d/11923uPwbBZFjjGgGUA6NLw09EwE0CqkOc4q9oUmW1yo/edit?usp=sharing"",""ลำปาง!I410"")"),0)</f>
        <v>0</v>
      </c>
      <c r="J515" s="197">
        <f ca="1">IFERROR(__xludf.DUMMYFUNCTION("IMPORTRANGE(""https://docs.google.com/spreadsheets/d/11923uPwbBZFjjGgGUA6NLw09EwE0CqkOc4q9oUmW1yo/edit?usp=sharing"",""ลำปาง!J410"")"),0)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IFERROR(__xludf.DUMMYFUNCTION("IMPORTRANGE(""https://docs.google.com/spreadsheets/d/11923uPwbBZFjjGgGUA6NLw09EwE0CqkOc4q9oUmW1yo/edit?usp=sharing"",""ลำปาง!I411"")"),0)</f>
        <v>0</v>
      </c>
      <c r="J516" s="267">
        <f ca="1">IFERROR(__xludf.DUMMYFUNCTION("IMPORTRANGE(""https://docs.google.com/spreadsheets/d/11923uPwbBZFjjGgGUA6NLw09EwE0CqkOc4q9oUmW1yo/edit?usp=sharing"",""ลำปาง!J411"")"),0)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IFERROR(__xludf.DUMMYFUNCTION("IMPORTRANGE(""https://docs.google.com/spreadsheets/d/11923uPwbBZFjjGgGUA6NLw09EwE0CqkOc4q9oUmW1yo/edit?usp=sharing"",""ลำปาง!I412"")"),0)</f>
        <v>0</v>
      </c>
      <c r="J517" s="284">
        <f ca="1">IFERROR(__xludf.DUMMYFUNCTION("IMPORTRANGE(""https://docs.google.com/spreadsheets/d/11923uPwbBZFjjGgGUA6NLw09EwE0CqkOc4q9oUmW1yo/edit?usp=sharing"",""ลำปาง!J412"")"),0)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IFERROR(__xludf.DUMMYFUNCTION("IMPORTRANGE(""https://docs.google.com/spreadsheets/d/11923uPwbBZFjjGgGUA6NLw09EwE0CqkOc4q9oUmW1yo/edit?usp=sharing"",""ลำปาง!I413"")"),0)</f>
        <v>0</v>
      </c>
      <c r="J518" s="284">
        <f ca="1">IFERROR(__xludf.DUMMYFUNCTION("IMPORTRANGE(""https://docs.google.com/spreadsheets/d/11923uPwbBZFjjGgGUA6NLw09EwE0CqkOc4q9oUmW1yo/edit?usp=sharing"",""ลำปาง!J413"")"),0)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IFERROR(__xludf.DUMMYFUNCTION("IMPORTRANGE(""https://docs.google.com/spreadsheets/d/11923uPwbBZFjjGgGUA6NLw09EwE0CqkOc4q9oUmW1yo/edit?usp=sharing"",""ลำปาง!I414"")"),0)</f>
        <v>0</v>
      </c>
      <c r="J519" s="187">
        <f ca="1">IFERROR(__xludf.DUMMYFUNCTION("IMPORTRANGE(""https://docs.google.com/spreadsheets/d/11923uPwbBZFjjGgGUA6NLw09EwE0CqkOc4q9oUmW1yo/edit?usp=sharing"",""ลำปาง!J414"")"),0)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IFERROR(__xludf.DUMMYFUNCTION("IMPORTRANGE(""https://docs.google.com/spreadsheets/d/11923uPwbBZFjjGgGUA6NLw09EwE0CqkOc4q9oUmW1yo/edit?usp=sharing"",""ลำปาง!I415"")"),0)</f>
        <v>0</v>
      </c>
      <c r="J520" s="187">
        <f ca="1">IFERROR(__xludf.DUMMYFUNCTION("IMPORTRANGE(""https://docs.google.com/spreadsheets/d/11923uPwbBZFjjGgGUA6NLw09EwE0CqkOc4q9oUmW1yo/edit?usp=sharing"",""ลำปาง!J415"")"),0)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IFERROR(__xludf.DUMMYFUNCTION("IMPORTRANGE(""https://docs.google.com/spreadsheets/d/11923uPwbBZFjjGgGUA6NLw09EwE0CqkOc4q9oUmW1yo/edit?usp=sharing"",""ลำปาง!I416"")"),0)</f>
        <v>0</v>
      </c>
      <c r="J521" s="187">
        <f ca="1">IFERROR(__xludf.DUMMYFUNCTION("IMPORTRANGE(""https://docs.google.com/spreadsheets/d/11923uPwbBZFjjGgGUA6NLw09EwE0CqkOc4q9oUmW1yo/edit?usp=sharing"",""ลำปาง!J416"")"),0)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IFERROR(__xludf.DUMMYFUNCTION("IMPORTRANGE(""https://docs.google.com/spreadsheets/d/11923uPwbBZFjjGgGUA6NLw09EwE0CqkOc4q9oUmW1yo/edit?usp=sharing"",""ลำปาง!I417"")"),0)</f>
        <v>0</v>
      </c>
      <c r="J522" s="187">
        <f ca="1">IFERROR(__xludf.DUMMYFUNCTION("IMPORTRANGE(""https://docs.google.com/spreadsheets/d/11923uPwbBZFjjGgGUA6NLw09EwE0CqkOc4q9oUmW1yo/edit?usp=sharing"",""ลำปาง!J417"")"),0)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IFERROR(__xludf.DUMMYFUNCTION("IMPORTRANGE(""https://docs.google.com/spreadsheets/d/11923uPwbBZFjjGgGUA6NLw09EwE0CqkOc4q9oUmW1yo/edit?usp=sharing"",""ลำปาง!I418"")"),0)</f>
        <v>0</v>
      </c>
      <c r="J523" s="187">
        <f ca="1">IFERROR(__xludf.DUMMYFUNCTION("IMPORTRANGE(""https://docs.google.com/spreadsheets/d/11923uPwbBZFjjGgGUA6NLw09EwE0CqkOc4q9oUmW1yo/edit?usp=sharing"",""ลำปาง!J418"")"),54)</f>
        <v>54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IFERROR(__xludf.DUMMYFUNCTION("IMPORTRANGE(""https://docs.google.com/spreadsheets/d/11923uPwbBZFjjGgGUA6NLw09EwE0CqkOc4q9oUmW1yo/edit?usp=sharing"",""ลำปาง!I419"")"),0)</f>
        <v>0</v>
      </c>
      <c r="J524" s="187">
        <f ca="1">IFERROR(__xludf.DUMMYFUNCTION("IMPORTRANGE(""https://docs.google.com/spreadsheets/d/11923uPwbBZFjjGgGUA6NLw09EwE0CqkOc4q9oUmW1yo/edit?usp=sharing"",""ลำปาง!J419"")"),6)</f>
        <v>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IFERROR(__xludf.DUMMYFUNCTION("IMPORTRANGE(""https://docs.google.com/spreadsheets/d/11923uPwbBZFjjGgGUA6NLw09EwE0CqkOc4q9oUmW1yo/edit?usp=sharing"",""ลำปาง!I420"")"),54)</f>
        <v>54</v>
      </c>
      <c r="J525" s="284">
        <f ca="1">IFERROR(__xludf.DUMMYFUNCTION("IMPORTRANGE(""https://docs.google.com/spreadsheets/d/11923uPwbBZFjjGgGUA6NLw09EwE0CqkOc4q9oUmW1yo/edit?usp=sharing"",""ลำปาง!J420"")"),54)</f>
        <v>54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IFERROR(__xludf.DUMMYFUNCTION("IMPORTRANGE(""https://docs.google.com/spreadsheets/d/11923uPwbBZFjjGgGUA6NLw09EwE0CqkOc4q9oUmW1yo/edit?usp=sharing"",""ลำปาง!I421"")"),6)</f>
        <v>6</v>
      </c>
      <c r="J526" s="284">
        <f ca="1">IFERROR(__xludf.DUMMYFUNCTION("IMPORTRANGE(""https://docs.google.com/spreadsheets/d/11923uPwbBZFjjGgGUA6NLw09EwE0CqkOc4q9oUmW1yo/edit?usp=sharing"",""ลำปาง!J421"")"),6)</f>
        <v>6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IFERROR(__xludf.DUMMYFUNCTION("IMPORTRANGE(""https://docs.google.com/spreadsheets/d/11923uPwbBZFjjGgGUA6NLw09EwE0CqkOc4q9oUmW1yo/edit?usp=sharing"",""ลำปาง!I422"")"),0)</f>
        <v>0</v>
      </c>
      <c r="J527" s="197">
        <f ca="1">IFERROR(__xludf.DUMMYFUNCTION("IMPORTRANGE(""https://docs.google.com/spreadsheets/d/11923uPwbBZFjjGgGUA6NLw09EwE0CqkOc4q9oUmW1yo/edit?usp=sharing"",""ลำปาง!J422"")"),42)</f>
        <v>42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IFERROR(__xludf.DUMMYFUNCTION("IMPORTRANGE(""https://docs.google.com/spreadsheets/d/11923uPwbBZFjjGgGUA6NLw09EwE0CqkOc4q9oUmW1yo/edit?usp=sharing"",""ลำปาง!I423"")"),0)</f>
        <v>0</v>
      </c>
      <c r="J528" s="197">
        <f ca="1">IFERROR(__xludf.DUMMYFUNCTION("IMPORTRANGE(""https://docs.google.com/spreadsheets/d/11923uPwbBZFjjGgGUA6NLw09EwE0CqkOc4q9oUmW1yo/edit?usp=sharing"",""ลำปาง!J423"")"),2)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IFERROR(__xludf.DUMMYFUNCTION("IMPORTRANGE(""https://docs.google.com/spreadsheets/d/11923uPwbBZFjjGgGUA6NLw09EwE0CqkOc4q9oUmW1yo/edit?usp=sharing"",""ลำปาง!I424"")"),0)</f>
        <v>0</v>
      </c>
      <c r="J529" s="197">
        <f ca="1">IFERROR(__xludf.DUMMYFUNCTION("IMPORTRANGE(""https://docs.google.com/spreadsheets/d/11923uPwbBZFjjGgGUA6NLw09EwE0CqkOc4q9oUmW1yo/edit?usp=sharing"",""ลำปาง!J424"")"),12)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IFERROR(__xludf.DUMMYFUNCTION("IMPORTRANGE(""https://docs.google.com/spreadsheets/d/11923uPwbBZFjjGgGUA6NLw09EwE0CqkOc4q9oUmW1yo/edit?usp=sharing"",""ลำปาง!I425"")"),0)</f>
        <v>0</v>
      </c>
      <c r="J530" s="197">
        <f ca="1">IFERROR(__xludf.DUMMYFUNCTION("IMPORTRANGE(""https://docs.google.com/spreadsheets/d/11923uPwbBZFjjGgGUA6NLw09EwE0CqkOc4q9oUmW1yo/edit?usp=sharing"",""ลำปาง!J425"")"),4)</f>
        <v>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IFERROR(__xludf.DUMMYFUNCTION("IMPORTRANGE(""https://docs.google.com/spreadsheets/d/11923uPwbBZFjjGgGUA6NLw09EwE0CqkOc4q9oUmW1yo/edit?usp=sharing"",""ลำปาง!I426"")"),0)</f>
        <v>0</v>
      </c>
      <c r="J531" s="197">
        <f ca="1">IFERROR(__xludf.DUMMYFUNCTION("IMPORTRANGE(""https://docs.google.com/spreadsheets/d/11923uPwbBZFjjGgGUA6NLw09EwE0CqkOc4q9oUmW1yo/edit?usp=sharing"",""ลำปาง!J426"")"),0)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IFERROR(__xludf.DUMMYFUNCTION("IMPORTRANGE(""https://docs.google.com/spreadsheets/d/11923uPwbBZFjjGgGUA6NLw09EwE0CqkOc4q9oUmW1yo/edit?usp=sharing"",""ลำปาง!I427"")"),0)</f>
        <v>0</v>
      </c>
      <c r="J532" s="466">
        <f ca="1">IFERROR(__xludf.DUMMYFUNCTION("IMPORTRANGE(""https://docs.google.com/spreadsheets/d/11923uPwbBZFjjGgGUA6NLw09EwE0CqkOc4q9oUmW1yo/edit?usp=sharing"",""ลำปาง!J427"")"),0)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IFERROR(__xludf.DUMMYFUNCTION("IMPORTRANGE(""https://docs.google.com/spreadsheets/d/11923uPwbBZFjjGgGUA6NLw09EwE0CqkOc4q9oUmW1yo/edit?usp=sharing"",""ลำปาง!I428"")"),22)</f>
        <v>22</v>
      </c>
      <c r="J533" s="409">
        <f ca="1">IFERROR(__xludf.DUMMYFUNCTION("IMPORTRANGE(""https://docs.google.com/spreadsheets/d/11923uPwbBZFjjGgGUA6NLw09EwE0CqkOc4q9oUmW1yo/edit?usp=sharing"",""ลำปาง!J428"")"),22)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IFERROR(__xludf.DUMMYFUNCTION("IMPORTRANGE(""https://docs.google.com/spreadsheets/d/11923uPwbBZFjjGgGUA6NLw09EwE0CqkOc4q9oUmW1yo/edit?usp=sharing"",""ลำปาง!L428"")"),34340)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IFERROR(__xludf.DUMMYFUNCTION("IMPORTRANGE(""https://docs.google.com/spreadsheets/d/11923uPwbBZFjjGgGUA6NLw09EwE0CqkOc4q9oUmW1yo/edit?usp=sharing"",""ลำปาง!M428"")"),34340)</f>
        <v>34340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IFERROR(__xludf.DUMMYFUNCTION("IMPORTRANGE(""https://docs.google.com/spreadsheets/d/11923uPwbBZFjjGgGUA6NLw09EwE0CqkOc4q9oUmW1yo/edit?usp=sharing"",""ลำปาง!L429"")"),0)</f>
        <v>0</v>
      </c>
      <c r="M534" s="164"/>
      <c r="N534" s="168">
        <f ca="1">IFERROR(__xludf.DUMMYFUNCTION("IMPORTRANGE(""https://docs.google.com/spreadsheets/d/11923uPwbBZFjjGgGUA6NLw09EwE0CqkOc4q9oUmW1yo/edit?usp=sharing"",""ลำปาง!M429"")"),0)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IFERROR(__xludf.DUMMYFUNCTION("IMPORTRANGE(""https://docs.google.com/spreadsheets/d/11923uPwbBZFjjGgGUA6NLw09EwE0CqkOc4q9oUmW1yo/edit?usp=sharing"",""ลำปาง!L430"")"),34340)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IFERROR(__xludf.DUMMYFUNCTION("IMPORTRANGE(""https://docs.google.com/spreadsheets/d/11923uPwbBZFjjGgGUA6NLw09EwE0CqkOc4q9oUmW1yo/edit?usp=sharing"",""ลำปาง!M430"")"),34340)</f>
        <v>34340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IFERROR(__xludf.DUMMYFUNCTION("IMPORTRANGE(""https://docs.google.com/spreadsheets/d/11923uPwbBZFjjGgGUA6NLw09EwE0CqkOc4q9oUmW1yo/edit?usp=sharing"",""ลำปาง!L431"")"),0)</f>
        <v>0</v>
      </c>
      <c r="M536" s="168"/>
      <c r="N536" s="168">
        <f ca="1">IFERROR(__xludf.DUMMYFUNCTION("IMPORTRANGE(""https://docs.google.com/spreadsheets/d/11923uPwbBZFjjGgGUA6NLw09EwE0CqkOc4q9oUmW1yo/edit?usp=sharing"",""ลำปาง!M431"")"),0)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IFERROR(__xludf.DUMMYFUNCTION("IMPORTRANGE(""https://docs.google.com/spreadsheets/d/11923uPwbBZFjjGgGUA6NLw09EwE0CqkOc4q9oUmW1yo/edit?usp=sharing"",""ลำปาง!L432"")"),34340)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IFERROR(__xludf.DUMMYFUNCTION("IMPORTRANGE(""https://docs.google.com/spreadsheets/d/11923uPwbBZFjjGgGUA6NLw09EwE0CqkOc4q9oUmW1yo/edit?usp=sharing"",""ลำปาง!M432"")"),34340)</f>
        <v>34340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IFERROR(__xludf.DUMMYFUNCTION("IMPORTRANGE(""https://docs.google.com/spreadsheets/d/11923uPwbBZFjjGgGUA6NLw09EwE0CqkOc4q9oUmW1yo/edit?usp=sharing"",""ลำปาง!M433"")"),18740)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IFERROR(__xludf.DUMMYFUNCTION("IMPORTRANGE(""https://docs.google.com/spreadsheets/d/11923uPwbBZFjjGgGUA6NLw09EwE0CqkOc4q9oUmW1yo/edit?usp=sharing"",""ลำปาง!M434"")"),0)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IFERROR(__xludf.DUMMYFUNCTION("IMPORTRANGE(""https://docs.google.com/spreadsheets/d/11923uPwbBZFjjGgGUA6NLw09EwE0CqkOc4q9oUmW1yo/edit?usp=sharing"",""ลำปาง!M435"")"),0)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IFERROR(__xludf.DUMMYFUNCTION("IMPORTRANGE(""https://docs.google.com/spreadsheets/d/11923uPwbBZFjjGgGUA6NLw09EwE0CqkOc4q9oUmW1yo/edit?usp=sharing"",""ลำปาง!M436"")"),15600)</f>
        <v>15600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IFERROR(__xludf.DUMMYFUNCTION("IMPORTRANGE(""https://docs.google.com/spreadsheets/d/11923uPwbBZFjjGgGUA6NLw09EwE0CqkOc4q9oUmW1yo/edit?usp=sharing"",""ลำปาง!J438"")"),0)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IFERROR(__xludf.DUMMYFUNCTION("IMPORTRANGE(""https://docs.google.com/spreadsheets/d/11923uPwbBZFjjGgGUA6NLw09EwE0CqkOc4q9oUmW1yo/edit?usp=sharing"",""ลำปาง!J439"")"),1)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IFERROR(__xludf.DUMMYFUNCTION("IMPORTRANGE(""https://docs.google.com/spreadsheets/d/11923uPwbBZFjjGgGUA6NLw09EwE0CqkOc4q9oUmW1yo/edit?usp=sharing"",""ลำปาง!J440"")"),1)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IFERROR(__xludf.DUMMYFUNCTION("IMPORTRANGE(""https://docs.google.com/spreadsheets/d/11923uPwbBZFjjGgGUA6NLw09EwE0CqkOc4q9oUmW1yo/edit?usp=sharing"",""ลำปาง!J441"")"),1)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IFERROR(__xludf.DUMMYFUNCTION("IMPORTRANGE(""https://docs.google.com/spreadsheets/d/11923uPwbBZFjjGgGUA6NLw09EwE0CqkOc4q9oUmW1yo/edit?usp=sharing"",""ลำปาง!I442"")"),22)</f>
        <v>22</v>
      </c>
      <c r="J547" s="188">
        <f ca="1">IFERROR(__xludf.DUMMYFUNCTION("IMPORTRANGE(""https://docs.google.com/spreadsheets/d/11923uPwbBZFjjGgGUA6NLw09EwE0CqkOc4q9oUmW1yo/edit?usp=sharing"",""ลำปาง!J442"")"),22)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IFERROR(__xludf.DUMMYFUNCTION("IMPORTRANGE(""https://docs.google.com/spreadsheets/d/11923uPwbBZFjjGgGUA6NLw09EwE0CqkOc4q9oUmW1yo/edit?usp=sharing"",""ลำปาง!J166"")"),0)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IFERROR(__xludf.DUMMYFUNCTION("IMPORTRANGE(""https://docs.google.com/spreadsheets/d/11923uPwbBZFjjGgGUA6NLw09EwE0CqkOc4q9oUmW1yo/edit?usp=sharing"",""ลำปาง!J444"")"),1)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IFERROR(__xludf.DUMMYFUNCTION("IMPORTRANGE(""https://docs.google.com/spreadsheets/d/11923uPwbBZFjjGgGUA6NLw09EwE0CqkOc4q9oUmW1yo/edit?usp=sharing"",""ลำปาง!J445"")"),1)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IFERROR(__xludf.DUMMYFUNCTION("IMPORTRANGE(""https://docs.google.com/spreadsheets/d/11923uPwbBZFjjGgGUA6NLw09EwE0CqkOc4q9oUmW1yo/edit?usp=sharing"",""ลำปาง!I446"")"),3000)</f>
        <v>3000</v>
      </c>
      <c r="J551" s="409">
        <f ca="1">IFERROR(__xludf.DUMMYFUNCTION("IMPORTRANGE(""https://docs.google.com/spreadsheets/d/11923uPwbBZFjjGgGUA6NLw09EwE0CqkOc4q9oUmW1yo/edit?usp=sharing"",""ลำปาง!J446"")"),2404)</f>
        <v>2404</v>
      </c>
      <c r="K551" s="410">
        <f ca="1">IF(I551&gt;0,J551*100/I551,0)</f>
        <v>80.13333333333334</v>
      </c>
      <c r="L551" s="411">
        <f ca="1">IFERROR(__xludf.DUMMYFUNCTION("IMPORTRANGE(""https://docs.google.com/spreadsheets/d/11923uPwbBZFjjGgGUA6NLw09EwE0CqkOc4q9oUmW1yo/edit?usp=sharing"",""ลำปาง!L446"")"),188000)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IFERROR(__xludf.DUMMYFUNCTION("IMPORTRANGE(""https://docs.google.com/spreadsheets/d/11923uPwbBZFjjGgGUA6NLw09EwE0CqkOc4q9oUmW1yo/edit?usp=sharing"",""ลำปาง!M446"")"),97212.84)</f>
        <v>97212.84</v>
      </c>
      <c r="O551" s="411">
        <f t="shared" ref="O551:O555" ca="1" si="120">+IF(L551&gt;0,N551*100/L551,0)</f>
        <v>51.708957446808512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IFERROR(__xludf.DUMMYFUNCTION("IMPORTRANGE(""https://docs.google.com/spreadsheets/d/11923uPwbBZFjjGgGUA6NLw09EwE0CqkOc4q9oUmW1yo/edit?usp=sharing"",""ลำปาง!L447"")"),0)</f>
        <v>0</v>
      </c>
      <c r="M552" s="164"/>
      <c r="N552" s="168">
        <f ca="1">IFERROR(__xludf.DUMMYFUNCTION("IMPORTRANGE(""https://docs.google.com/spreadsheets/d/11923uPwbBZFjjGgGUA6NLw09EwE0CqkOc4q9oUmW1yo/edit?usp=sharing"",""ลำปาง!M447"")"),0)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IFERROR(__xludf.DUMMYFUNCTION("IMPORTRANGE(""https://docs.google.com/spreadsheets/d/11923uPwbBZFjjGgGUA6NLw09EwE0CqkOc4q9oUmW1yo/edit?usp=sharing"",""ลำปาง!L448"")"),188000)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IFERROR(__xludf.DUMMYFUNCTION("IMPORTRANGE(""https://docs.google.com/spreadsheets/d/11923uPwbBZFjjGgGUA6NLw09EwE0CqkOc4q9oUmW1yo/edit?usp=sharing"",""ลำปาง!M448"")"),97212.84)</f>
        <v>97212.84</v>
      </c>
      <c r="O553" s="168">
        <f t="shared" ca="1" si="120"/>
        <v>51.708957446808512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IFERROR(__xludf.DUMMYFUNCTION("IMPORTRANGE(""https://docs.google.com/spreadsheets/d/11923uPwbBZFjjGgGUA6NLw09EwE0CqkOc4q9oUmW1yo/edit?usp=sharing"",""ลำปาง!L449"")"),0)</f>
        <v>0</v>
      </c>
      <c r="M554" s="168"/>
      <c r="N554" s="168">
        <f ca="1">IFERROR(__xludf.DUMMYFUNCTION("IMPORTRANGE(""https://docs.google.com/spreadsheets/d/11923uPwbBZFjjGgGUA6NLw09EwE0CqkOc4q9oUmW1yo/edit?usp=sharing"",""ลำปาง!M449"")"),0)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IFERROR(__xludf.DUMMYFUNCTION("IMPORTRANGE(""https://docs.google.com/spreadsheets/d/11923uPwbBZFjjGgGUA6NLw09EwE0CqkOc4q9oUmW1yo/edit?usp=sharing"",""ลำปาง!L450"")"),188000)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IFERROR(__xludf.DUMMYFUNCTION("IMPORTRANGE(""https://docs.google.com/spreadsheets/d/11923uPwbBZFjjGgGUA6NLw09EwE0CqkOc4q9oUmW1yo/edit?usp=sharing"",""ลำปาง!M450"")"),97212.84)</f>
        <v>97212.84</v>
      </c>
      <c r="O555" s="168">
        <f t="shared" ca="1" si="120"/>
        <v>51.708957446808512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IFERROR(__xludf.DUMMYFUNCTION("IMPORTRANGE(""https://docs.google.com/spreadsheets/d/11923uPwbBZFjjGgGUA6NLw09EwE0CqkOc4q9oUmW1yo/edit?usp=sharing"",""ลำปาง!M451"")"),0)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IFERROR(__xludf.DUMMYFUNCTION("IMPORTRANGE(""https://docs.google.com/spreadsheets/d/11923uPwbBZFjjGgGUA6NLw09EwE0CqkOc4q9oUmW1yo/edit?usp=sharing"",""ลำปาง!M452"")"),0)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IFERROR(__xludf.DUMMYFUNCTION("IMPORTRANGE(""https://docs.google.com/spreadsheets/d/11923uPwbBZFjjGgGUA6NLw09EwE0CqkOc4q9oUmW1yo/edit?usp=sharing"",""ลำปาง!M453"")"),37170)</f>
        <v>37170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IFERROR(__xludf.DUMMYFUNCTION("IMPORTRANGE(""https://docs.google.com/spreadsheets/d/11923uPwbBZFjjGgGUA6NLw09EwE0CqkOc4q9oUmW1yo/edit?usp=sharing"",""ลำปาง!M454"")"),60042.84)</f>
        <v>60042.84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IFERROR(__xludf.DUMMYFUNCTION("IMPORTRANGE(""https://docs.google.com/spreadsheets/d/11923uPwbBZFjjGgGUA6NLw09EwE0CqkOc4q9oUmW1yo/edit?usp=sharing"",""ลำปาง!I455"")"),3000)</f>
        <v>3000</v>
      </c>
      <c r="J560" s="162">
        <f ca="1">IFERROR(__xludf.DUMMYFUNCTION("IMPORTRANGE(""https://docs.google.com/spreadsheets/d/11923uPwbBZFjjGgGUA6NLw09EwE0CqkOc4q9oUmW1yo/edit?usp=sharing"",""ลำปาง!J455"")"),2404)</f>
        <v>2404</v>
      </c>
      <c r="K560" s="224">
        <f t="shared" ref="K560:K561" ca="1" si="121">IF(I560&gt;0,J560*100/I560,0)</f>
        <v>80.13333333333334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IFERROR(__xludf.DUMMYFUNCTION("IMPORTRANGE(""https://docs.google.com/spreadsheets/d/11923uPwbBZFjjGgGUA6NLw09EwE0CqkOc4q9oUmW1yo/edit?usp=sharing"",""ลำปาง!I456"")"),0)</f>
        <v>0</v>
      </c>
      <c r="J561" s="203">
        <f ca="1">IFERROR(__xludf.DUMMYFUNCTION("IMPORTRANGE(""https://docs.google.com/spreadsheets/d/11923uPwbBZFjjGgGUA6NLw09EwE0CqkOc4q9oUmW1yo/edit?usp=sharing"",""ลำปาง!J456"")"),286)</f>
        <v>286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IFERROR(__xludf.DUMMYFUNCTION("IMPORTRANGE(""https://docs.google.com/spreadsheets/d/11923uPwbBZFjjGgGUA6NLw09EwE0CqkOc4q9oUmW1yo/edit?usp=sharing"",""ลำปาง!I459"")"),1800)</f>
        <v>1800</v>
      </c>
      <c r="J564" s="370">
        <f ca="1">IFERROR(__xludf.DUMMYFUNCTION("IMPORTRANGE(""https://docs.google.com/spreadsheets/d/11923uPwbBZFjjGgGUA6NLw09EwE0CqkOc4q9oUmW1yo/edit?usp=sharing"",""ลำปาง!J459"")"),2610)</f>
        <v>2610</v>
      </c>
      <c r="K564" s="371">
        <f ca="1">IF(I564&gt;0,J564*100/I564,0)</f>
        <v>145</v>
      </c>
      <c r="L564" s="372">
        <f ca="1">IFERROR(__xludf.DUMMYFUNCTION("IMPORTRANGE(""https://docs.google.com/spreadsheets/d/11923uPwbBZFjjGgGUA6NLw09EwE0CqkOc4q9oUmW1yo/edit?usp=sharing"",""ลำปาง!L459"")"),145040)</f>
        <v>145040</v>
      </c>
      <c r="M564" s="372"/>
      <c r="N564" s="372">
        <f ca="1">IFERROR(__xludf.DUMMYFUNCTION("IMPORTRANGE(""https://docs.google.com/spreadsheets/d/11923uPwbBZFjjGgGUA6NLw09EwE0CqkOc4q9oUmW1yo/edit?usp=sharing"",""ลำปาง!M459"")"),95080.04)</f>
        <v>95080.04</v>
      </c>
      <c r="O564" s="372">
        <f t="shared" ref="O564:O568" ca="1" si="122">+IF(L564&gt;0,N564*100/L564,0)</f>
        <v>65.554357418643136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IFERROR(__xludf.DUMMYFUNCTION("IMPORTRANGE(""https://docs.google.com/spreadsheets/d/11923uPwbBZFjjGgGUA6NLw09EwE0CqkOc4q9oUmW1yo/edit?usp=sharing"",""ลำปาง!L460"")"),0)</f>
        <v>0</v>
      </c>
      <c r="M565" s="164"/>
      <c r="N565" s="168">
        <f ca="1">IFERROR(__xludf.DUMMYFUNCTION("IMPORTRANGE(""https://docs.google.com/spreadsheets/d/11923uPwbBZFjjGgGUA6NLw09EwE0CqkOc4q9oUmW1yo/edit?usp=sharing"",""ลำปาง!M460"")"),0)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IFERROR(__xludf.DUMMYFUNCTION("IMPORTRANGE(""https://docs.google.com/spreadsheets/d/11923uPwbBZFjjGgGUA6NLw09EwE0CqkOc4q9oUmW1yo/edit?usp=sharing"",""ลำปาง!L461"")"),145040)</f>
        <v>145040</v>
      </c>
      <c r="M566" s="165"/>
      <c r="N566" s="168">
        <f ca="1">IFERROR(__xludf.DUMMYFUNCTION("IMPORTRANGE(""https://docs.google.com/spreadsheets/d/11923uPwbBZFjjGgGUA6NLw09EwE0CqkOc4q9oUmW1yo/edit?usp=sharing"",""ลำปาง!M461"")"),95080.04)</f>
        <v>95080.04</v>
      </c>
      <c r="O566" s="168">
        <f t="shared" ca="1" si="122"/>
        <v>65.554357418643136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IFERROR(__xludf.DUMMYFUNCTION("IMPORTRANGE(""https://docs.google.com/spreadsheets/d/11923uPwbBZFjjGgGUA6NLw09EwE0CqkOc4q9oUmW1yo/edit?usp=sharing"",""ลำปาง!L462"")"),0)</f>
        <v>0</v>
      </c>
      <c r="M567" s="168"/>
      <c r="N567" s="168">
        <f ca="1">IFERROR(__xludf.DUMMYFUNCTION("IMPORTRANGE(""https://docs.google.com/spreadsheets/d/11923uPwbBZFjjGgGUA6NLw09EwE0CqkOc4q9oUmW1yo/edit?usp=sharing"",""ลำปาง!M462"")"),0)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IFERROR(__xludf.DUMMYFUNCTION("IMPORTRANGE(""https://docs.google.com/spreadsheets/d/11923uPwbBZFjjGgGUA6NLw09EwE0CqkOc4q9oUmW1yo/edit?usp=sharing"",""ลำปาง!L463"")"),145040)</f>
        <v>145040</v>
      </c>
      <c r="M568" s="168"/>
      <c r="N568" s="168">
        <f ca="1">IFERROR(__xludf.DUMMYFUNCTION("IMPORTRANGE(""https://docs.google.com/spreadsheets/d/11923uPwbBZFjjGgGUA6NLw09EwE0CqkOc4q9oUmW1yo/edit?usp=sharing"",""ลำปาง!M463"")"),95080.04)</f>
        <v>95080.04</v>
      </c>
      <c r="O568" s="168">
        <f t="shared" ca="1" si="122"/>
        <v>65.554357418643136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IFERROR(__xludf.DUMMYFUNCTION("IMPORTRANGE(""https://docs.google.com/spreadsheets/d/11923uPwbBZFjjGgGUA6NLw09EwE0CqkOc4q9oUmW1yo/edit?usp=sharing"",""ลำปาง!M464"")"),0)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IFERROR(__xludf.DUMMYFUNCTION("IMPORTRANGE(""https://docs.google.com/spreadsheets/d/11923uPwbBZFjjGgGUA6NLw09EwE0CqkOc4q9oUmW1yo/edit?usp=sharing"",""ลำปาง!M465"")"),0)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IFERROR(__xludf.DUMMYFUNCTION("IMPORTRANGE(""https://docs.google.com/spreadsheets/d/11923uPwbBZFjjGgGUA6NLw09EwE0CqkOc4q9oUmW1yo/edit?usp=sharing"",""ลำปาง!M466"")"),63800.04)</f>
        <v>63800.04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IFERROR(__xludf.DUMMYFUNCTION("IMPORTRANGE(""https://docs.google.com/spreadsheets/d/11923uPwbBZFjjGgGUA6NLw09EwE0CqkOc4q9oUmW1yo/edit?usp=sharing"",""ลำปาง!M467"")"),31280)</f>
        <v>31280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IFERROR(__xludf.DUMMYFUNCTION("IMPORTRANGE(""https://docs.google.com/spreadsheets/d/11923uPwbBZFjjGgGUA6NLw09EwE0CqkOc4q9oUmW1yo/edit?usp=sharing"",""ลำปาง!I468"")"),1800)</f>
        <v>1800</v>
      </c>
      <c r="J573" s="420">
        <f ca="1">IFERROR(__xludf.DUMMYFUNCTION("IMPORTRANGE(""https://docs.google.com/spreadsheets/d/11923uPwbBZFjjGgGUA6NLw09EwE0CqkOc4q9oUmW1yo/edit?usp=sharing"",""ลำปาง!J468"")"),2610)</f>
        <v>2610</v>
      </c>
      <c r="K573" s="201">
        <f ca="1">IF(I573&gt;0,J573*100/I573,0)</f>
        <v>145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IFERROR(__xludf.DUMMYFUNCTION("IMPORTRANGE(""https://docs.google.com/spreadsheets/d/11923uPwbBZFjjGgGUA6NLw09EwE0CqkOc4q9oUmW1yo/edit?usp=sharing"",""ลำปาง!I470"")"),0)</f>
        <v>0</v>
      </c>
      <c r="J575" s="197">
        <f ca="1">IFERROR(__xludf.DUMMYFUNCTION("IMPORTRANGE(""https://docs.google.com/spreadsheets/d/11923uPwbBZFjjGgGUA6NLw09EwE0CqkOc4q9oUmW1yo/edit?usp=sharing"",""ลำปาง!J470"")"),3)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IFERROR(__xludf.DUMMYFUNCTION("IMPORTRANGE(""https://docs.google.com/spreadsheets/d/11923uPwbBZFjjGgGUA6NLw09EwE0CqkOc4q9oUmW1yo/edit?usp=sharing"",""ลำปาง!I471"")"),0)</f>
        <v>0</v>
      </c>
      <c r="J576" s="197">
        <f ca="1">IFERROR(__xludf.DUMMYFUNCTION("IMPORTRANGE(""https://docs.google.com/spreadsheets/d/11923uPwbBZFjjGgGUA6NLw09EwE0CqkOc4q9oUmW1yo/edit?usp=sharing"",""ลำปาง!J471"")"),257)</f>
        <v>257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IFERROR(__xludf.DUMMYFUNCTION("IMPORTRANGE(""https://docs.google.com/spreadsheets/d/11923uPwbBZFjjGgGUA6NLw09EwE0CqkOc4q9oUmW1yo/edit?usp=sharing"",""ลำปาง!I472"")"),0)</f>
        <v>0</v>
      </c>
      <c r="J577" s="188">
        <f ca="1">IFERROR(__xludf.DUMMYFUNCTION("IMPORTRANGE(""https://docs.google.com/spreadsheets/d/11923uPwbBZFjjGgGUA6NLw09EwE0CqkOc4q9oUmW1yo/edit?usp=sharing"",""ลำปาง!J472"")"),2353)</f>
        <v>2353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IFERROR(__xludf.DUMMYFUNCTION("IMPORTRANGE(""https://docs.google.com/spreadsheets/d/11923uPwbBZFjjGgGUA6NLw09EwE0CqkOc4q9oUmW1yo/edit?usp=sharing"",""ลำปาง!I473"")"),0)</f>
        <v>0</v>
      </c>
      <c r="J578" s="197">
        <f ca="1">IFERROR(__xludf.DUMMYFUNCTION("IMPORTRANGE(""https://docs.google.com/spreadsheets/d/11923uPwbBZFjjGgGUA6NLw09EwE0CqkOc4q9oUmW1yo/edit?usp=sharing"",""ลำปาง!J473"")"),0)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IFERROR(__xludf.DUMMYFUNCTION("IMPORTRANGE(""https://docs.google.com/spreadsheets/d/11923uPwbBZFjjGgGUA6NLw09EwE0CqkOc4q9oUmW1yo/edit?usp=sharing"",""ลำปาง!I474"")"),0)</f>
        <v>0</v>
      </c>
      <c r="J579" s="197">
        <f ca="1">IFERROR(__xludf.DUMMYFUNCTION("IMPORTRANGE(""https://docs.google.com/spreadsheets/d/11923uPwbBZFjjGgGUA6NLw09EwE0CqkOc4q9oUmW1yo/edit?usp=sharing"",""ลำปาง!J474"")"),0)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IFERROR(__xludf.DUMMYFUNCTION("IMPORTRANGE(""https://docs.google.com/spreadsheets/d/11923uPwbBZFjjGgGUA6NLw09EwE0CqkOc4q9oUmW1yo/edit?usp=sharing"",""ลำปาง!I475"")"),5)</f>
        <v>5</v>
      </c>
      <c r="J580" s="370">
        <f ca="1">IFERROR(__xludf.DUMMYFUNCTION("IMPORTRANGE(""https://docs.google.com/spreadsheets/d/11923uPwbBZFjjGgGUA6NLw09EwE0CqkOc4q9oUmW1yo/edit?usp=sharing"",""ลำปาง!J475"")"),4)</f>
        <v>4</v>
      </c>
      <c r="K580" s="371">
        <f ca="1">IF(I580&gt;0,J580*100/I580,0)</f>
        <v>80</v>
      </c>
      <c r="L580" s="372">
        <f ca="1">IFERROR(__xludf.DUMMYFUNCTION("IMPORTRANGE(""https://docs.google.com/spreadsheets/d/11923uPwbBZFjjGgGUA6NLw09EwE0CqkOc4q9oUmW1yo/edit?usp=sharing"",""ลำปาง!L475"")"),144655)</f>
        <v>144655</v>
      </c>
      <c r="M580" s="372"/>
      <c r="N580" s="372">
        <f ca="1">IFERROR(__xludf.DUMMYFUNCTION("IMPORTRANGE(""https://docs.google.com/spreadsheets/d/11923uPwbBZFjjGgGUA6NLw09EwE0CqkOc4q9oUmW1yo/edit?usp=sharing"",""ลำปาง!M475"")"),3955)</f>
        <v>3955</v>
      </c>
      <c r="O580" s="372">
        <f t="shared" ref="O580:O584" ca="1" si="124">+IF(L580&gt;0,N580*100/L580,0)</f>
        <v>2.7340914589886283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IFERROR(__xludf.DUMMYFUNCTION("IMPORTRANGE(""https://docs.google.com/spreadsheets/d/11923uPwbBZFjjGgGUA6NLw09EwE0CqkOc4q9oUmW1yo/edit?usp=sharing"",""ลำปาง!L476"")"),0)</f>
        <v>0</v>
      </c>
      <c r="M581" s="164"/>
      <c r="N581" s="168">
        <f ca="1">IFERROR(__xludf.DUMMYFUNCTION("IMPORTRANGE(""https://docs.google.com/spreadsheets/d/11923uPwbBZFjjGgGUA6NLw09EwE0CqkOc4q9oUmW1yo/edit?usp=sharing"",""ลำปาง!M476"")"),0)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IFERROR(__xludf.DUMMYFUNCTION("IMPORTRANGE(""https://docs.google.com/spreadsheets/d/11923uPwbBZFjjGgGUA6NLw09EwE0CqkOc4q9oUmW1yo/edit?usp=sharing"",""ลำปาง!L477"")"),144655)</f>
        <v>144655</v>
      </c>
      <c r="M582" s="165"/>
      <c r="N582" s="168">
        <f ca="1">IFERROR(__xludf.DUMMYFUNCTION("IMPORTRANGE(""https://docs.google.com/spreadsheets/d/11923uPwbBZFjjGgGUA6NLw09EwE0CqkOc4q9oUmW1yo/edit?usp=sharing"",""ลำปาง!M477"")"),3955)</f>
        <v>3955</v>
      </c>
      <c r="O582" s="168">
        <f t="shared" ca="1" si="124"/>
        <v>2.7340914589886283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IFERROR(__xludf.DUMMYFUNCTION("IMPORTRANGE(""https://docs.google.com/spreadsheets/d/11923uPwbBZFjjGgGUA6NLw09EwE0CqkOc4q9oUmW1yo/edit?usp=sharing"",""ลำปาง!L478"")"),0)</f>
        <v>0</v>
      </c>
      <c r="M583" s="168"/>
      <c r="N583" s="168">
        <f ca="1">IFERROR(__xludf.DUMMYFUNCTION("IMPORTRANGE(""https://docs.google.com/spreadsheets/d/11923uPwbBZFjjGgGUA6NLw09EwE0CqkOc4q9oUmW1yo/edit?usp=sharing"",""ลำปาง!M478"")"),0)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IFERROR(__xludf.DUMMYFUNCTION("IMPORTRANGE(""https://docs.google.com/spreadsheets/d/11923uPwbBZFjjGgGUA6NLw09EwE0CqkOc4q9oUmW1yo/edit?usp=sharing"",""ลำปาง!L479"")"),144655)</f>
        <v>144655</v>
      </c>
      <c r="M584" s="168"/>
      <c r="N584" s="168">
        <f ca="1">IFERROR(__xludf.DUMMYFUNCTION("IMPORTRANGE(""https://docs.google.com/spreadsheets/d/11923uPwbBZFjjGgGUA6NLw09EwE0CqkOc4q9oUmW1yo/edit?usp=sharing"",""ลำปาง!M479"")"),3955)</f>
        <v>3955</v>
      </c>
      <c r="O584" s="168">
        <f t="shared" ca="1" si="124"/>
        <v>2.7340914589886283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IFERROR(__xludf.DUMMYFUNCTION("IMPORTRANGE(""https://docs.google.com/spreadsheets/d/11923uPwbBZFjjGgGUA6NLw09EwE0CqkOc4q9oUmW1yo/edit?usp=sharing"",""ลำปาง!M480"")"),0)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IFERROR(__xludf.DUMMYFUNCTION("IMPORTRANGE(""https://docs.google.com/spreadsheets/d/11923uPwbBZFjjGgGUA6NLw09EwE0CqkOc4q9oUmW1yo/edit?usp=sharing"",""ลำปาง!M481"")"),0)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IFERROR(__xludf.DUMMYFUNCTION("IMPORTRANGE(""https://docs.google.com/spreadsheets/d/11923uPwbBZFjjGgGUA6NLw09EwE0CqkOc4q9oUmW1yo/edit?usp=sharing"",""ลำปาง!M482"")"),0)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IFERROR(__xludf.DUMMYFUNCTION("IMPORTRANGE(""https://docs.google.com/spreadsheets/d/11923uPwbBZFjjGgGUA6NLw09EwE0CqkOc4q9oUmW1yo/edit?usp=sharing"",""ลำปาง!M483"")"),3955)</f>
        <v>3955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IFERROR(__xludf.DUMMYFUNCTION("IMPORTRANGE(""https://docs.google.com/spreadsheets/d/11923uPwbBZFjjGgGUA6NLw09EwE0CqkOc4q9oUmW1yo/edit?usp=sharing"",""ลำปาง!I484"")"),5)</f>
        <v>5</v>
      </c>
      <c r="J589" s="187">
        <f ca="1">IFERROR(__xludf.DUMMYFUNCTION("IMPORTRANGE(""https://docs.google.com/spreadsheets/d/11923uPwbBZFjjGgGUA6NLw09EwE0CqkOc4q9oUmW1yo/edit?usp=sharing"",""ลำปาง!J484"")"),7)</f>
        <v>7</v>
      </c>
      <c r="K589" s="163">
        <f t="shared" ref="K589:K596" ca="1" si="125">IF(I589&gt;0,J589*100/I589,0)</f>
        <v>140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IFERROR(__xludf.DUMMYFUNCTION("IMPORTRANGE(""https://docs.google.com/spreadsheets/d/11923uPwbBZFjjGgGUA6NLw09EwE0CqkOc4q9oUmW1yo/edit?usp=sharing"",""ลำปาง!I485"")"),0)</f>
        <v>0</v>
      </c>
      <c r="J590" s="187">
        <f ca="1">IFERROR(__xludf.DUMMYFUNCTION("IMPORTRANGE(""https://docs.google.com/spreadsheets/d/11923uPwbBZFjjGgGUA6NLw09EwE0CqkOc4q9oUmW1yo/edit?usp=sharing"",""ลำปาง!J485"")"),4.37)</f>
        <v>4.37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IFERROR(__xludf.DUMMYFUNCTION("IMPORTRANGE(""https://docs.google.com/spreadsheets/d/11923uPwbBZFjjGgGUA6NLw09EwE0CqkOc4q9oUmW1yo/edit?usp=sharing"",""ลำปาง!I486"")"),5)</f>
        <v>5</v>
      </c>
      <c r="J591" s="187">
        <f ca="1">IFERROR(__xludf.DUMMYFUNCTION("IMPORTRANGE(""https://docs.google.com/spreadsheets/d/11923uPwbBZFjjGgGUA6NLw09EwE0CqkOc4q9oUmW1yo/edit?usp=sharing"",""ลำปาง!J486"")"),9)</f>
        <v>9</v>
      </c>
      <c r="K591" s="163">
        <f t="shared" ca="1" si="125"/>
        <v>180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IFERROR(__xludf.DUMMYFUNCTION("IMPORTRANGE(""https://docs.google.com/spreadsheets/d/11923uPwbBZFjjGgGUA6NLw09EwE0CqkOc4q9oUmW1yo/edit?usp=sharing"",""ลำปาง!I487"")"),0)</f>
        <v>0</v>
      </c>
      <c r="J592" s="187">
        <f ca="1">IFERROR(__xludf.DUMMYFUNCTION("IMPORTRANGE(""https://docs.google.com/spreadsheets/d/11923uPwbBZFjjGgGUA6NLw09EwE0CqkOc4q9oUmW1yo/edit?usp=sharing"",""ลำปาง!J487"")"),6.46)</f>
        <v>6.46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IFERROR(__xludf.DUMMYFUNCTION("IMPORTRANGE(""https://docs.google.com/spreadsheets/d/11923uPwbBZFjjGgGUA6NLw09EwE0CqkOc4q9oUmW1yo/edit?usp=sharing"",""ลำปาง!I488"")"),5)</f>
        <v>5</v>
      </c>
      <c r="J593" s="187">
        <f ca="1">IFERROR(__xludf.DUMMYFUNCTION("IMPORTRANGE(""https://docs.google.com/spreadsheets/d/11923uPwbBZFjjGgGUA6NLw09EwE0CqkOc4q9oUmW1yo/edit?usp=sharing"",""ลำปาง!J488"")"),2)</f>
        <v>2</v>
      </c>
      <c r="K593" s="163">
        <f t="shared" ca="1" si="125"/>
        <v>40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IFERROR(__xludf.DUMMYFUNCTION("IMPORTRANGE(""https://docs.google.com/spreadsheets/d/11923uPwbBZFjjGgGUA6NLw09EwE0CqkOc4q9oUmW1yo/edit?usp=sharing"",""ลำปาง!I489"")"),0)</f>
        <v>0</v>
      </c>
      <c r="J594" s="187">
        <f ca="1">IFERROR(__xludf.DUMMYFUNCTION("IMPORTRANGE(""https://docs.google.com/spreadsheets/d/11923uPwbBZFjjGgGUA6NLw09EwE0CqkOc4q9oUmW1yo/edit?usp=sharing"",""ลำปาง!J489"")"),1.48)</f>
        <v>1.48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IFERROR(__xludf.DUMMYFUNCTION("IMPORTRANGE(""https://docs.google.com/spreadsheets/d/11923uPwbBZFjjGgGUA6NLw09EwE0CqkOc4q9oUmW1yo/edit?usp=sharing"",""ลำปาง!I490"")"),5)</f>
        <v>5</v>
      </c>
      <c r="J595" s="187">
        <f ca="1">IFERROR(__xludf.DUMMYFUNCTION("IMPORTRANGE(""https://docs.google.com/spreadsheets/d/11923uPwbBZFjjGgGUA6NLw09EwE0CqkOc4q9oUmW1yo/edit?usp=sharing"",""ลำปาง!J490"")"),4)</f>
        <v>4</v>
      </c>
      <c r="K595" s="163">
        <f t="shared" ca="1" si="125"/>
        <v>80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IFERROR(__xludf.DUMMYFUNCTION("IMPORTRANGE(""https://docs.google.com/spreadsheets/d/11923uPwbBZFjjGgGUA6NLw09EwE0CqkOc4q9oUmW1yo/edit?usp=sharing"",""ลำปาง!I491"")"),0)</f>
        <v>0</v>
      </c>
      <c r="J596" s="241">
        <f ca="1">IFERROR(__xludf.DUMMYFUNCTION("IMPORTRANGE(""https://docs.google.com/spreadsheets/d/11923uPwbBZFjjGgGUA6NLw09EwE0CqkOc4q9oUmW1yo/edit?usp=sharing"",""ลำปาง!J491"")"),3.23)</f>
        <v>3.23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IFERROR(__xludf.DUMMYFUNCTION("IMPORTRANGE(""https://docs.google.com/spreadsheets/d/11923uPwbBZFjjGgGUA6NLw09EwE0CqkOc4q9oUmW1yo/edit?usp=sharing"",""ลำปาง!I492"")"),100)</f>
        <v>100</v>
      </c>
      <c r="J597" s="488">
        <f ca="1">IFERROR(__xludf.DUMMYFUNCTION("IMPORTRANGE(""https://docs.google.com/spreadsheets/d/11923uPwbBZFjjGgGUA6NLw09EwE0CqkOc4q9oUmW1yo/edit?usp=sharing"",""ลำปาง!J492"")"),0)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IFERROR(__xludf.DUMMYFUNCTION("IMPORTRANGE(""https://docs.google.com/spreadsheets/d/11923uPwbBZFjjGgGUA6NLw09EwE0CqkOc4q9oUmW1yo/edit?usp=sharing"",""ลำปาง!L492"")"),8900)</f>
        <v>8900</v>
      </c>
      <c r="M597" s="411"/>
      <c r="N597" s="411">
        <f ca="1">IFERROR(__xludf.DUMMYFUNCTION("IMPORTRANGE(""https://docs.google.com/spreadsheets/d/11923uPwbBZFjjGgGUA6NLw09EwE0CqkOc4q9oUmW1yo/edit?usp=sharing"",""ลำปาง!M492"")"),3400)</f>
        <v>3400</v>
      </c>
      <c r="O597" s="411">
        <f t="shared" ref="O597:O601" ca="1" si="126">+IF(L597&gt;0,N597*100/L597,0)</f>
        <v>38.202247191011239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IFERROR(__xludf.DUMMYFUNCTION("IMPORTRANGE(""https://docs.google.com/spreadsheets/d/11923uPwbBZFjjGgGUA6NLw09EwE0CqkOc4q9oUmW1yo/edit?usp=sharing"",""ลำปาง!L493"")"),0)</f>
        <v>0</v>
      </c>
      <c r="M598" s="164"/>
      <c r="N598" s="168">
        <f ca="1">IFERROR(__xludf.DUMMYFUNCTION("IMPORTRANGE(""https://docs.google.com/spreadsheets/d/11923uPwbBZFjjGgGUA6NLw09EwE0CqkOc4q9oUmW1yo/edit?usp=sharing"",""ลำปาง!M493"")"),0)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IFERROR(__xludf.DUMMYFUNCTION("IMPORTRANGE(""https://docs.google.com/spreadsheets/d/11923uPwbBZFjjGgGUA6NLw09EwE0CqkOc4q9oUmW1yo/edit?usp=sharing"",""ลำปาง!L494"")"),8900)</f>
        <v>8900</v>
      </c>
      <c r="M599" s="165"/>
      <c r="N599" s="168">
        <f ca="1">IFERROR(__xludf.DUMMYFUNCTION("IMPORTRANGE(""https://docs.google.com/spreadsheets/d/11923uPwbBZFjjGgGUA6NLw09EwE0CqkOc4q9oUmW1yo/edit?usp=sharing"",""ลำปาง!M494"")"),3400)</f>
        <v>3400</v>
      </c>
      <c r="O599" s="168">
        <f t="shared" ca="1" si="126"/>
        <v>38.202247191011239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IFERROR(__xludf.DUMMYFUNCTION("IMPORTRANGE(""https://docs.google.com/spreadsheets/d/11923uPwbBZFjjGgGUA6NLw09EwE0CqkOc4q9oUmW1yo/edit?usp=sharing"",""ลำปาง!L495"")"),0)</f>
        <v>0</v>
      </c>
      <c r="M600" s="168"/>
      <c r="N600" s="168">
        <f ca="1">IFERROR(__xludf.DUMMYFUNCTION("IMPORTRANGE(""https://docs.google.com/spreadsheets/d/11923uPwbBZFjjGgGUA6NLw09EwE0CqkOc4q9oUmW1yo/edit?usp=sharing"",""ลำปาง!M495"")"),0)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IFERROR(__xludf.DUMMYFUNCTION("IMPORTRANGE(""https://docs.google.com/spreadsheets/d/11923uPwbBZFjjGgGUA6NLw09EwE0CqkOc4q9oUmW1yo/edit?usp=sharing"",""ลำปาง!L496"")"),8900)</f>
        <v>8900</v>
      </c>
      <c r="M601" s="168"/>
      <c r="N601" s="168">
        <f ca="1">IFERROR(__xludf.DUMMYFUNCTION("IMPORTRANGE(""https://docs.google.com/spreadsheets/d/11923uPwbBZFjjGgGUA6NLw09EwE0CqkOc4q9oUmW1yo/edit?usp=sharing"",""ลำปาง!M496"")"),3400)</f>
        <v>3400</v>
      </c>
      <c r="O601" s="168">
        <f t="shared" ca="1" si="126"/>
        <v>38.202247191011239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IFERROR(__xludf.DUMMYFUNCTION("IMPORTRANGE(""https://docs.google.com/spreadsheets/d/11923uPwbBZFjjGgGUA6NLw09EwE0CqkOc4q9oUmW1yo/edit?usp=sharing"",""ลำปาง!M497"")"),0)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IFERROR(__xludf.DUMMYFUNCTION("IMPORTRANGE(""https://docs.google.com/spreadsheets/d/11923uPwbBZFjjGgGUA6NLw09EwE0CqkOc4q9oUmW1yo/edit?usp=sharing"",""ลำปาง!M498"")"),0)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IFERROR(__xludf.DUMMYFUNCTION("IMPORTRANGE(""https://docs.google.com/spreadsheets/d/11923uPwbBZFjjGgGUA6NLw09EwE0CqkOc4q9oUmW1yo/edit?usp=sharing"",""ลำปาง!M499"")"),0)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IFERROR(__xludf.DUMMYFUNCTION("IMPORTRANGE(""https://docs.google.com/spreadsheets/d/11923uPwbBZFjjGgGUA6NLw09EwE0CqkOc4q9oUmW1yo/edit?usp=sharing"",""ลำปาง!M500"")"),3400)</f>
        <v>3400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IFERROR(__xludf.DUMMYFUNCTION("IMPORTRANGE(""https://docs.google.com/spreadsheets/d/11923uPwbBZFjjGgGUA6NLw09EwE0CqkOc4q9oUmW1yo/edit?usp=sharing"",""ลำปาง!J502"")"),0)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IFERROR(__xludf.DUMMYFUNCTION("IMPORTRANGE(""https://docs.google.com/spreadsheets/d/11923uPwbBZFjjGgGUA6NLw09EwE0CqkOc4q9oUmW1yo/edit?usp=sharing"",""ลำปาง!J503"")"),1)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IFERROR(__xludf.DUMMYFUNCTION("IMPORTRANGE(""https://docs.google.com/spreadsheets/d/11923uPwbBZFjjGgGUA6NLw09EwE0CqkOc4q9oUmW1yo/edit?usp=sharing"",""ลำปาง!J166"")"),0)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IFERROR(__xludf.DUMMYFUNCTION("IMPORTRANGE(""https://docs.google.com/spreadsheets/d/11923uPwbBZFjjGgGUA6NLw09EwE0CqkOc4q9oUmW1yo/edit?usp=sharing"",""ลำปาง!J166"")"),0)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IFERROR(__xludf.DUMMYFUNCTION("IMPORTRANGE(""https://docs.google.com/spreadsheets/d/11923uPwbBZFjjGgGUA6NLw09EwE0CqkOc4q9oUmW1yo/edit?usp=sharing"",""ลำปาง!I506"")"),100)</f>
        <v>100</v>
      </c>
      <c r="J611" s="162">
        <f ca="1">IFERROR(__xludf.DUMMYFUNCTION("IMPORTRANGE(""https://docs.google.com/spreadsheets/d/11923uPwbBZFjjGgGUA6NLw09EwE0CqkOc4q9oUmW1yo/edit?usp=sharing"",""ลำปาง!J506"")"),0)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IFERROR(__xludf.DUMMYFUNCTION("IMPORTRANGE(""https://docs.google.com/spreadsheets/d/11923uPwbBZFjjGgGUA6NLw09EwE0CqkOc4q9oUmW1yo/edit?usp=sharing"",""ลำปาง!I507"")"),0)</f>
        <v>0</v>
      </c>
      <c r="J612" s="197">
        <f ca="1">IFERROR(__xludf.DUMMYFUNCTION("IMPORTRANGE(""https://docs.google.com/spreadsheets/d/11923uPwbBZFjjGgGUA6NLw09EwE0CqkOc4q9oUmW1yo/edit?usp=sharing"",""ลำปาง!J507"")"),0)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IFERROR(__xludf.DUMMYFUNCTION("IMPORTRANGE(""https://docs.google.com/spreadsheets/d/11923uPwbBZFjjGgGUA6NLw09EwE0CqkOc4q9oUmW1yo/edit?usp=sharing"",""ลำปาง!I508"")"),0)</f>
        <v>0</v>
      </c>
      <c r="J613" s="197">
        <f ca="1">IFERROR(__xludf.DUMMYFUNCTION("IMPORTRANGE(""https://docs.google.com/spreadsheets/d/11923uPwbBZFjjGgGUA6NLw09EwE0CqkOc4q9oUmW1yo/edit?usp=sharing"",""ลำปาง!J508"")"),0)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IFERROR(__xludf.DUMMYFUNCTION("IMPORTRANGE(""https://docs.google.com/spreadsheets/d/11923uPwbBZFjjGgGUA6NLw09EwE0CqkOc4q9oUmW1yo/edit?usp=sharing"",""ลำปาง!I509"")"),0)</f>
        <v>0</v>
      </c>
      <c r="J614" s="197">
        <f ca="1">IFERROR(__xludf.DUMMYFUNCTION("IMPORTRANGE(""https://docs.google.com/spreadsheets/d/11923uPwbBZFjjGgGUA6NLw09EwE0CqkOc4q9oUmW1yo/edit?usp=sharing"",""ลำปาง!J509"")"),0)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IFERROR(__xludf.DUMMYFUNCTION("IMPORTRANGE(""https://docs.google.com/spreadsheets/d/11923uPwbBZFjjGgGUA6NLw09EwE0CqkOc4q9oUmW1yo/edit?usp=sharing"",""ลำปาง!I510"")"),0)</f>
        <v>0</v>
      </c>
      <c r="J615" s="197">
        <f ca="1">IFERROR(__xludf.DUMMYFUNCTION("IMPORTRANGE(""https://docs.google.com/spreadsheets/d/11923uPwbBZFjjGgGUA6NLw09EwE0CqkOc4q9oUmW1yo/edit?usp=sharing"",""ลำปาง!J510"")"),0)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IFERROR(__xludf.DUMMYFUNCTION("IMPORTRANGE(""https://docs.google.com/spreadsheets/d/11923uPwbBZFjjGgGUA6NLw09EwE0CqkOc4q9oUmW1yo/edit?usp=sharing"",""ลำปาง!I511"")"),0)</f>
        <v>0</v>
      </c>
      <c r="J616" s="197">
        <f ca="1">IFERROR(__xludf.DUMMYFUNCTION("IMPORTRANGE(""https://docs.google.com/spreadsheets/d/11923uPwbBZFjjGgGUA6NLw09EwE0CqkOc4q9oUmW1yo/edit?usp=sharing"",""ลำปาง!J511"")"),0)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IFERROR(__xludf.DUMMYFUNCTION("IMPORTRANGE(""https://docs.google.com/spreadsheets/d/11923uPwbBZFjjGgGUA6NLw09EwE0CqkOc4q9oUmW1yo/edit?usp=sharing"",""ลำปาง!I512"")"),0)</f>
        <v>0</v>
      </c>
      <c r="J617" s="187">
        <f ca="1">IFERROR(__xludf.DUMMYFUNCTION("IMPORTRANGE(""https://docs.google.com/spreadsheets/d/11923uPwbBZFjjGgGUA6NLw09EwE0CqkOc4q9oUmW1yo/edit?usp=sharing"",""ลำปาง!J512"")"),0)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IFERROR(__xludf.DUMMYFUNCTION("IMPORTRANGE(""https://docs.google.com/spreadsheets/d/11923uPwbBZFjjGgGUA6NLw09EwE0CqkOc4q9oUmW1yo/edit?usp=sharing"",""ลำปาง!I513"")"),0)</f>
        <v>0</v>
      </c>
      <c r="J618" s="188">
        <f ca="1">IFERROR(__xludf.DUMMYFUNCTION("IMPORTRANGE(""https://docs.google.com/spreadsheets/d/11923uPwbBZFjjGgGUA6NLw09EwE0CqkOc4q9oUmW1yo/edit?usp=sharing"",""ลำปาง!J513"")"),0)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IFERROR(__xludf.DUMMYFUNCTION("IMPORTRANGE(""https://docs.google.com/spreadsheets/d/11923uPwbBZFjjGgGUA6NLw09EwE0CqkOc4q9oUmW1yo/edit?usp=sharing"",""ลำปาง!I514"")"),0)</f>
        <v>0</v>
      </c>
      <c r="J619" s="188">
        <f ca="1">IFERROR(__xludf.DUMMYFUNCTION("IMPORTRANGE(""https://docs.google.com/spreadsheets/d/11923uPwbBZFjjGgGUA6NLw09EwE0CqkOc4q9oUmW1yo/edit?usp=sharing"",""ลำปาง!J514"")"),0)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IFERROR(__xludf.DUMMYFUNCTION("IMPORTRANGE(""https://docs.google.com/spreadsheets/d/11923uPwbBZFjjGgGUA6NLw09EwE0CqkOc4q9oUmW1yo/edit?usp=sharing"",""ลำปาง!I515"")"),0)</f>
        <v>0</v>
      </c>
      <c r="J620" s="202">
        <f ca="1">IFERROR(__xludf.DUMMYFUNCTION("IMPORTRANGE(""https://docs.google.com/spreadsheets/d/11923uPwbBZFjjGgGUA6NLw09EwE0CqkOc4q9oUmW1yo/edit?usp=sharing"",""ลำปาง!J515"")"),0)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IFERROR(__xludf.DUMMYFUNCTION("IMPORTRANGE(""https://docs.google.com/spreadsheets/d/11923uPwbBZFjjGgGUA6NLw09EwE0CqkOc4q9oUmW1yo/edit?usp=sharing"",""ลำปาง!I516"")"),0)</f>
        <v>0</v>
      </c>
      <c r="J621" s="202">
        <f ca="1">IFERROR(__xludf.DUMMYFUNCTION("IMPORTRANGE(""https://docs.google.com/spreadsheets/d/11923uPwbBZFjjGgGUA6NLw09EwE0CqkOc4q9oUmW1yo/edit?usp=sharing"",""ลำปาง!J516"")"),0)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IFERROR(__xludf.DUMMYFUNCTION("IMPORTRANGE(""https://docs.google.com/spreadsheets/d/11923uPwbBZFjjGgGUA6NLw09EwE0CqkOc4q9oUmW1yo/edit?usp=sharing"",""ลำปาง!I517"")"),0)</f>
        <v>0</v>
      </c>
      <c r="J622" s="188">
        <f ca="1">IFERROR(__xludf.DUMMYFUNCTION("IMPORTRANGE(""https://docs.google.com/spreadsheets/d/11923uPwbBZFjjGgGUA6NLw09EwE0CqkOc4q9oUmW1yo/edit?usp=sharing"",""ลำปาง!J517"")"),0)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IFERROR(__xludf.DUMMYFUNCTION("IMPORTRANGE(""https://docs.google.com/spreadsheets/d/11923uPwbBZFjjGgGUA6NLw09EwE0CqkOc4q9oUmW1yo/edit?usp=sharing"",""ลำปาง!I518"")"),0)</f>
        <v>0</v>
      </c>
      <c r="J623" s="188">
        <f ca="1">IFERROR(__xludf.DUMMYFUNCTION("IMPORTRANGE(""https://docs.google.com/spreadsheets/d/11923uPwbBZFjjGgGUA6NLw09EwE0CqkOc4q9oUmW1yo/edit?usp=sharing"",""ลำปาง!J518"")"),0)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IFERROR(__xludf.DUMMYFUNCTION("IMPORTRANGE(""https://docs.google.com/spreadsheets/d/11923uPwbBZFjjGgGUA6NLw09EwE0CqkOc4q9oUmW1yo/edit?usp=sharing"",""ลำปาง!I519"")"),0)</f>
        <v>0</v>
      </c>
      <c r="J624" s="187">
        <f ca="1">IFERROR(__xludf.DUMMYFUNCTION("IMPORTRANGE(""https://docs.google.com/spreadsheets/d/11923uPwbBZFjjGgGUA6NLw09EwE0CqkOc4q9oUmW1yo/edit?usp=sharing"",""ลำปาง!J519"")"),0)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IFERROR(__xludf.DUMMYFUNCTION("IMPORTRANGE(""https://docs.google.com/spreadsheets/d/11923uPwbBZFjjGgGUA6NLw09EwE0CqkOc4q9oUmW1yo/edit?usp=sharing"",""ลำปาง!I520"")"),0)</f>
        <v>0</v>
      </c>
      <c r="J625" s="188">
        <f ca="1">IFERROR(__xludf.DUMMYFUNCTION("IMPORTRANGE(""https://docs.google.com/spreadsheets/d/11923uPwbBZFjjGgGUA6NLw09EwE0CqkOc4q9oUmW1yo/edit?usp=sharing"",""ลำปาง!J520"")"),0)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IFERROR(__xludf.DUMMYFUNCTION("IMPORTRANGE(""https://docs.google.com/spreadsheets/d/11923uPwbBZFjjGgGUA6NLw09EwE0CqkOc4q9oUmW1yo/edit?usp=sharing"",""ลำปาง!I521"")"),0)</f>
        <v>0</v>
      </c>
      <c r="J626" s="188">
        <f ca="1">IFERROR(__xludf.DUMMYFUNCTION("IMPORTRANGE(""https://docs.google.com/spreadsheets/d/11923uPwbBZFjjGgGUA6NLw09EwE0CqkOc4q9oUmW1yo/edit?usp=sharing"",""ลำปาง!J521"")"),0)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41">
        <f ca="1">IFERROR(__xludf.DUMMYFUNCTION("IMPORTRANGE(""https://docs.google.com/spreadsheets/d/11923uPwbBZFjjGgGUA6NLw09EwE0CqkOc4q9oUmW1yo/edit?usp=sharing"",""ลำปาง!J523"")"),6645340.55)</f>
        <v>6645340.5499999998</v>
      </c>
      <c r="K628" s="342">
        <f t="shared" ref="K628:K635" ca="1" si="129">IF(I628&gt;0,J628*100/I628,0)</f>
        <v>82.647544458409627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IFERROR(__xludf.DUMMYFUNCTION("IMPORTRANGE(""https://docs.google.com/spreadsheets/d/11923uPwbBZFjjGgGUA6NLw09EwE0CqkOc4q9oUmW1yo/edit?usp=sharing"",""ลำปาง!I524"")"),318)</f>
        <v>318</v>
      </c>
      <c r="J629" s="341">
        <f ca="1">IFERROR(__xludf.DUMMYFUNCTION("IMPORTRANGE(""https://docs.google.com/spreadsheets/d/11923uPwbBZFjjGgGUA6NLw09EwE0CqkOc4q9oUmW1yo/edit?usp=sharing"",""ลำปาง!J524"")"),259)</f>
        <v>259</v>
      </c>
      <c r="K629" s="342">
        <f t="shared" ca="1" si="129"/>
        <v>81.44654088050315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IFERROR(__xludf.DUMMYFUNCTION("IMPORTRANGE(""https://docs.google.com/spreadsheets/d/11923uPwbBZFjjGgGUA6NLw09EwE0CqkOc4q9oUmW1yo/edit?usp=sharing"",""ลำปาง!I525"")"),17310.57)</f>
        <v>17310.57</v>
      </c>
      <c r="J630" s="341">
        <f ca="1">IFERROR(__xludf.DUMMYFUNCTION("IMPORTRANGE(""https://docs.google.com/spreadsheets/d/11923uPwbBZFjjGgGUA6NLw09EwE0CqkOc4q9oUmW1yo/edit?usp=sharing"",""ลำปาง!J525"")"),2681.42)</f>
        <v>2681.42</v>
      </c>
      <c r="K630" s="342">
        <f t="shared" ca="1" si="129"/>
        <v>15.490073406017249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IFERROR(__xludf.DUMMYFUNCTION("IMPORTRANGE(""https://docs.google.com/spreadsheets/d/11923uPwbBZFjjGgGUA6NLw09EwE0CqkOc4q9oUmW1yo/edit?usp=sharing"",""ลำปาง!I526"")"),1)</f>
        <v>1</v>
      </c>
      <c r="J631" s="341">
        <f ca="1">IFERROR(__xludf.DUMMYFUNCTION("IMPORTRANGE(""https://docs.google.com/spreadsheets/d/11923uPwbBZFjjGgGUA6NLw09EwE0CqkOc4q9oUmW1yo/edit?usp=sharing"",""ลำปาง!J526"")"),1)</f>
        <v>1</v>
      </c>
      <c r="K631" s="342">
        <f t="shared" ca="1" si="129"/>
        <v>100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IFERROR(__xludf.DUMMYFUNCTION("IMPORTRANGE(""https://docs.google.com/spreadsheets/d/11923uPwbBZFjjGgGUA6NLw09EwE0CqkOc4q9oUmW1yo/edit?usp=sharing"",""ลำปาง!I527"")"),0)</f>
        <v>0</v>
      </c>
      <c r="J632" s="341">
        <f ca="1">IFERROR(__xludf.DUMMYFUNCTION("IMPORTRANGE(""https://docs.google.com/spreadsheets/d/11923uPwbBZFjjGgGUA6NLw09EwE0CqkOc4q9oUmW1yo/edit?usp=sharing"",""ลำปาง!J527"")"),0)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IFERROR(__xludf.DUMMYFUNCTION("IMPORTRANGE(""https://docs.google.com/spreadsheets/d/11923uPwbBZFjjGgGUA6NLw09EwE0CqkOc4q9oUmW1yo/edit?usp=sharing"",""ลำปาง!I528"")"),0)</f>
        <v>0</v>
      </c>
      <c r="J633" s="341">
        <f ca="1">IFERROR(__xludf.DUMMYFUNCTION("IMPORTRANGE(""https://docs.google.com/spreadsheets/d/11923uPwbBZFjjGgGUA6NLw09EwE0CqkOc4q9oUmW1yo/edit?usp=sharing"",""ลำปาง!J528"")"),0)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IFERROR(__xludf.DUMMYFUNCTION("IMPORTRANGE(""https://docs.google.com/spreadsheets/d/11923uPwbBZFjjGgGUA6NLw09EwE0CqkOc4q9oUmW1yo/edit?usp=sharing"",""ลำปาง!I529"")"),6665000)</f>
        <v>6665000</v>
      </c>
      <c r="J634" s="341">
        <f ca="1">IFERROR(__xludf.DUMMYFUNCTION("IMPORTRANGE(""https://docs.google.com/spreadsheets/d/11923uPwbBZFjjGgGUA6NLw09EwE0CqkOc4q9oUmW1yo/edit?usp=sharing"",""ลำปาง!J529"")"),6195000)</f>
        <v>6195000</v>
      </c>
      <c r="K634" s="342">
        <f t="shared" ca="1" si="129"/>
        <v>92.948237059264812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IFERROR(__xludf.DUMMYFUNCTION("IMPORTRANGE(""https://docs.google.com/spreadsheets/d/11923uPwbBZFjjGgGUA6NLw09EwE0CqkOc4q9oUmW1yo/edit?usp=sharing"",""ลำปาง!I530"")"),173)</f>
        <v>173</v>
      </c>
      <c r="J635" s="505">
        <f ca="1">IFERROR(__xludf.DUMMYFUNCTION("IMPORTRANGE(""https://docs.google.com/spreadsheets/d/11923uPwbBZFjjGgGUA6NLw09EwE0CqkOc4q9oUmW1yo/edit?usp=sharing"",""ลำปาง!J530"")"),173)</f>
        <v>173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IFERROR(__xludf.DUMMYFUNCTION("IMPORTRANGE(""https://docs.google.com/spreadsheets/d/11923uPwbBZFjjGgGUA6NLw09EwE0CqkOc4q9oUmW1yo/edit?usp=sharing"",""ลำปาง!J541"")"),0)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IFERROR(__xludf.DUMMYFUNCTION("IMPORTRANGE(""https://docs.google.com/spreadsheets/d/11923uPwbBZFjjGgGUA6NLw09EwE0CqkOc4q9oUmW1yo/edit?usp=sharing"",""ลำปาง!J542"")"),0)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IFERROR(__xludf.DUMMYFUNCTION("IMPORTRANGE(""https://docs.google.com/spreadsheets/d/11923uPwbBZFjjGgGUA6NLw09EwE0CqkOc4q9oUmW1yo/edit?usp=sharing"",""ลำปาง!I543"")"),0)</f>
        <v>0</v>
      </c>
      <c r="J648" s="536">
        <f ca="1">IFERROR(__xludf.DUMMYFUNCTION("IMPORTRANGE(""https://docs.google.com/spreadsheets/d/11923uPwbBZFjjGgGUA6NLw09EwE0CqkOc4q9oUmW1yo/edit?usp=sharing"",""ลำปาง!J543"")"),0)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IFERROR(__xludf.DUMMYFUNCTION("IMPORTRANGE(""https://docs.google.com/spreadsheets/d/11923uPwbBZFjjGgGUA6NLw09EwE0CqkOc4q9oUmW1yo/edit?usp=sharing"",""ลำปาง!L543"")"),0)</f>
        <v>0</v>
      </c>
      <c r="M648" s="521"/>
      <c r="N648" s="538">
        <f ca="1">IFERROR(__xludf.DUMMYFUNCTION("IMPORTRANGE(""https://docs.google.com/spreadsheets/d/11923uPwbBZFjjGgGUA6NLw09EwE0CqkOc4q9oUmW1yo/edit?usp=sharing"",""ลำปาง!M543"")"),0)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IFERROR(__xludf.DUMMYFUNCTION("IMPORTRANGE(""https://docs.google.com/spreadsheets/d/11923uPwbBZFjjGgGUA6NLw09EwE0CqkOc4q9oUmW1yo/edit?usp=sharing"",""ลำปาง!I544"")"),0)</f>
        <v>0</v>
      </c>
      <c r="J649" s="536">
        <f ca="1">IFERROR(__xludf.DUMMYFUNCTION("IMPORTRANGE(""https://docs.google.com/spreadsheets/d/11923uPwbBZFjjGgGUA6NLw09EwE0CqkOc4q9oUmW1yo/edit?usp=sharing"",""ลำปาง!J544"")"),0)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IFERROR(__xludf.DUMMYFUNCTION("IMPORTRANGE(""https://docs.google.com/spreadsheets/d/11923uPwbBZFjjGgGUA6NLw09EwE0CqkOc4q9oUmW1yo/edit?usp=sharing"",""ลำปาง!L544"")"),0)</f>
        <v>0</v>
      </c>
      <c r="M649" s="521"/>
      <c r="N649" s="538">
        <f ca="1">IFERROR(__xludf.DUMMYFUNCTION("IMPORTRANGE(""https://docs.google.com/spreadsheets/d/11923uPwbBZFjjGgGUA6NLw09EwE0CqkOc4q9oUmW1yo/edit?usp=sharing"",""ลำปาง!M544"")"),0)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IFERROR(__xludf.DUMMYFUNCTION("IMPORTRANGE(""https://docs.google.com/spreadsheets/d/11923uPwbBZFjjGgGUA6NLw09EwE0CqkOc4q9oUmW1yo/edit?usp=sharing"",""ลำปาง!I545"")"),0)</f>
        <v>0</v>
      </c>
      <c r="J650" s="536">
        <f ca="1">IFERROR(__xludf.DUMMYFUNCTION("IMPORTRANGE(""https://docs.google.com/spreadsheets/d/11923uPwbBZFjjGgGUA6NLw09EwE0CqkOc4q9oUmW1yo/edit?usp=sharing"",""ลำปาง!J545"")"),0)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IFERROR(__xludf.DUMMYFUNCTION("IMPORTRANGE(""https://docs.google.com/spreadsheets/d/11923uPwbBZFjjGgGUA6NLw09EwE0CqkOc4q9oUmW1yo/edit?usp=sharing"",""ลำปาง!L545"")"),0)</f>
        <v>0</v>
      </c>
      <c r="M650" s="521"/>
      <c r="N650" s="538">
        <f ca="1">IFERROR(__xludf.DUMMYFUNCTION("IMPORTRANGE(""https://docs.google.com/spreadsheets/d/11923uPwbBZFjjGgGUA6NLw09EwE0CqkOc4q9oUmW1yo/edit?usp=sharing"",""ลำปาง!M545"")"),0)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IFERROR(__xludf.DUMMYFUNCTION("IMPORTRANGE(""https://docs.google.com/spreadsheets/d/11923uPwbBZFjjGgGUA6NLw09EwE0CqkOc4q9oUmW1yo/edit?usp=sharing"",""ลำปาง!I546"")"),0)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IFERROR(__xludf.DUMMYFUNCTION("IMPORTRANGE(""https://docs.google.com/spreadsheets/d/11923uPwbBZFjjGgGUA6NLw09EwE0CqkOc4q9oUmW1yo/edit?usp=sharing"",""ลำปาง!L546"")"),0)</f>
        <v>0</v>
      </c>
      <c r="M651" s="521"/>
      <c r="N651" s="538">
        <f ca="1">IFERROR(__xludf.DUMMYFUNCTION("IMPORTRANGE(""https://docs.google.com/spreadsheets/d/11923uPwbBZFjjGgGUA6NLw09EwE0CqkOc4q9oUmW1yo/edit?usp=sharing"",""ลำปาง!M546"")"),0)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IFERROR(__xludf.DUMMYFUNCTION("IMPORTRANGE(""https://docs.google.com/spreadsheets/d/11923uPwbBZFjjGgGUA6NLw09EwE0CqkOc4q9oUmW1yo/edit?usp=sharing"",""ลำปาง!J547"")"),0)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IFERROR(__xludf.DUMMYFUNCTION("IMPORTRANGE(""https://docs.google.com/spreadsheets/d/11923uPwbBZFjjGgGUA6NLw09EwE0CqkOc4q9oUmW1yo/edit?usp=sharing"",""ลำปาง!J548"")"),0)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IFERROR(__xludf.DUMMYFUNCTION("IMPORTRANGE(""https://docs.google.com/spreadsheets/d/11923uPwbBZFjjGgGUA6NLw09EwE0CqkOc4q9oUmW1yo/edit?usp=sharing"",""ลำปาง!J550"")"),0)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IFERROR(__xludf.DUMMYFUNCTION("IMPORTRANGE(""https://docs.google.com/spreadsheets/d/11923uPwbBZFjjGgGUA6NLw09EwE0CqkOc4q9oUmW1yo/edit?usp=sharing"",""ลำปาง!J551"")"),0)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IFERROR(__xludf.DUMMYFUNCTION("IMPORTRANGE(""https://docs.google.com/spreadsheets/d/11923uPwbBZFjjGgGUA6NLw09EwE0CqkOc4q9oUmW1yo/edit?usp=sharing"",""ลำปาง!J552"")"),0)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IFERROR(__xludf.DUMMYFUNCTION("IMPORTRANGE(""https://docs.google.com/spreadsheets/d/11923uPwbBZFjjGgGUA6NLw09EwE0CqkOc4q9oUmW1yo/edit?usp=sharing"",""ลำปาง!J553"")"),0)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IFERROR(__xludf.DUMMYFUNCTION("IMPORTRANGE(""https://docs.google.com/spreadsheets/d/11923uPwbBZFjjGgGUA6NLw09EwE0CqkOc4q9oUmW1yo/edit?usp=sharing"",""ลำปาง!J554"")"),0)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IFERROR(__xludf.DUMMYFUNCTION("IMPORTRANGE(""https://docs.google.com/spreadsheets/d/11923uPwbBZFjjGgGUA6NLw09EwE0CqkOc4q9oUmW1yo/edit?usp=sharing"",""ลำปาง!J555"")"),0)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IFERROR(__xludf.DUMMYFUNCTION("IMPORTRANGE(""https://docs.google.com/spreadsheets/d/11923uPwbBZFjjGgGUA6NLw09EwE0CqkOc4q9oUmW1yo/edit?usp=sharing"",""ลำปาง!J556"")"),0)</f>
        <v>0</v>
      </c>
      <c r="K661" s="537"/>
      <c r="L661" s="522">
        <f ca="1">IFERROR(__xludf.DUMMYFUNCTION("IMPORTRANGE(""https://docs.google.com/spreadsheets/d/11923uPwbBZFjjGgGUA6NLw09EwE0CqkOc4q9oUmW1yo/edit?usp=sharing"",""ลำปาง!L556"")"),0)</f>
        <v>0</v>
      </c>
      <c r="M661" s="521"/>
      <c r="N661" s="538">
        <f ca="1">IFERROR(__xludf.DUMMYFUNCTION("IMPORTRANGE(""https://docs.google.com/spreadsheets/d/11923uPwbBZFjjGgGUA6NLw09EwE0CqkOc4q9oUmW1yo/edit?usp=sharing"",""ลำปาง!M556"")"),0)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IFERROR(__xludf.DUMMYFUNCTION("IMPORTRANGE(""https://docs.google.com/spreadsheets/d/11923uPwbBZFjjGgGUA6NLw09EwE0CqkOc4q9oUmW1yo/edit?usp=sharing"",""ลำปาง!J557"")"),0)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IFERROR(__xludf.DUMMYFUNCTION("IMPORTRANGE(""https://docs.google.com/spreadsheets/d/11923uPwbBZFjjGgGUA6NLw09EwE0CqkOc4q9oUmW1yo/edit?usp=sharing"",""ลำปาง!I558"")"),0)</f>
        <v>0</v>
      </c>
      <c r="J663" s="536">
        <f ca="1">IFERROR(__xludf.DUMMYFUNCTION("IMPORTRANGE(""https://docs.google.com/spreadsheets/d/11923uPwbBZFjjGgGUA6NLw09EwE0CqkOc4q9oUmW1yo/edit?usp=sharing"",""ลำปาง!J558"")"),0)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IFERROR(__xludf.DUMMYFUNCTION("IMPORTRANGE(""https://docs.google.com/spreadsheets/d/11923uPwbBZFjjGgGUA6NLw09EwE0CqkOc4q9oUmW1yo/edit?usp=sharing"",""ลำปาง!I560"")"),0)</f>
        <v>0</v>
      </c>
      <c r="J665" s="536">
        <f ca="1">IFERROR(__xludf.DUMMYFUNCTION("IMPORTRANGE(""https://docs.google.com/spreadsheets/d/11923uPwbBZFjjGgGUA6NLw09EwE0CqkOc4q9oUmW1yo/edit?usp=sharing"",""ลำปาง!J560"")"),0)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IFERROR(__xludf.DUMMYFUNCTION("IMPORTRANGE(""https://docs.google.com/spreadsheets/d/11923uPwbBZFjjGgGUA6NLw09EwE0CqkOc4q9oUmW1yo/edit?usp=sharing"",""ลำปาง!L560"")"),0)</f>
        <v>0</v>
      </c>
      <c r="M665" s="521"/>
      <c r="N665" s="538">
        <f ca="1">IFERROR(__xludf.DUMMYFUNCTION("IMPORTRANGE(""https://docs.google.com/spreadsheets/d/11923uPwbBZFjjGgGUA6NLw09EwE0CqkOc4q9oUmW1yo/edit?usp=sharing"",""ลำปาง!M560"")"),0)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IFERROR(__xludf.DUMMYFUNCTION("IMPORTRANGE(""https://docs.google.com/spreadsheets/d/11923uPwbBZFjjGgGUA6NLw09EwE0CqkOc4q9oUmW1yo/edit?usp=sharing"",""ลำปาง!J561"")"),0)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IFERROR(__xludf.DUMMYFUNCTION("IMPORTRANGE(""https://docs.google.com/spreadsheets/d/11923uPwbBZFjjGgGUA6NLw09EwE0CqkOc4q9oUmW1yo/edit?usp=sharing"",""ลำปาง!J562"")"),0)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IFERROR(__xludf.DUMMYFUNCTION("IMPORTRANGE(""https://docs.google.com/spreadsheets/d/11923uPwbBZFjjGgGUA6NLw09EwE0CqkOc4q9oUmW1yo/edit?usp=sharing"",""ลำปาง!I563"")"),0)</f>
        <v>0</v>
      </c>
      <c r="J668" s="536">
        <f ca="1">IFERROR(__xludf.DUMMYFUNCTION("IMPORTRANGE(""https://docs.google.com/spreadsheets/d/11923uPwbBZFjjGgGUA6NLw09EwE0CqkOc4q9oUmW1yo/edit?usp=sharing"",""ลำปาง!J563"")"),0)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IFERROR(__xludf.DUMMYFUNCTION("IMPORTRANGE(""https://docs.google.com/spreadsheets/d/11923uPwbBZFjjGgGUA6NLw09EwE0CqkOc4q9oUmW1yo/edit?usp=sharing"",""ลำปาง!L563"")"),0)</f>
        <v>0</v>
      </c>
      <c r="M668" s="521"/>
      <c r="N668" s="538">
        <f ca="1">IFERROR(__xludf.DUMMYFUNCTION("IMPORTRANGE(""https://docs.google.com/spreadsheets/d/11923uPwbBZFjjGgGUA6NLw09EwE0CqkOc4q9oUmW1yo/edit?usp=sharing"",""ลำปาง!M563"")"),0)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IFERROR(__xludf.DUMMYFUNCTION("IMPORTRANGE(""https://docs.google.com/spreadsheets/d/11923uPwbBZFjjGgGUA6NLw09EwE0CqkOc4q9oUmW1yo/edit?usp=sharing"",""ลำปาง!J564"")"),0)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IFERROR(__xludf.DUMMYFUNCTION("IMPORTRANGE(""https://docs.google.com/spreadsheets/d/11923uPwbBZFjjGgGUA6NLw09EwE0CqkOc4q9oUmW1yo/edit?usp=sharing"",""ลำปาง!J565"")"),0)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IFERROR(__xludf.DUMMYFUNCTION("IMPORTRANGE(""https://docs.google.com/spreadsheets/d/11923uPwbBZFjjGgGUA6NLw09EwE0CqkOc4q9oUmW1yo/edit?usp=sharing"",""ลำปาง!I566"")"),0)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IFERROR(__xludf.DUMMYFUNCTION("IMPORTRANGE(""https://docs.google.com/spreadsheets/d/11923uPwbBZFjjGgGUA6NLw09EwE0CqkOc4q9oUmW1yo/edit?usp=sharing"",""ลำปาง!L566"")"),0)</f>
        <v>0</v>
      </c>
      <c r="M671" s="521"/>
      <c r="N671" s="538">
        <f ca="1">IFERROR(__xludf.DUMMYFUNCTION("IMPORTRANGE(""https://docs.google.com/spreadsheets/d/11923uPwbBZFjjGgGUA6NLw09EwE0CqkOc4q9oUmW1yo/edit?usp=sharing"",""ลำปาง!M566"")"),0)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IFERROR(__xludf.DUMMYFUNCTION("IMPORTRANGE(""https://docs.google.com/spreadsheets/d/11923uPwbBZFjjGgGUA6NLw09EwE0CqkOc4q9oUmW1yo/edit?usp=sharing"",""ลำปาง!J567"")"),0)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IFERROR(__xludf.DUMMYFUNCTION("IMPORTRANGE(""https://docs.google.com/spreadsheets/d/11923uPwbBZFjjGgGUA6NLw09EwE0CqkOc4q9oUmW1yo/edit?usp=sharing"",""ลำปาง!J568"")"),0)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IFERROR(__xludf.DUMMYFUNCTION("IMPORTRANGE(""https://docs.google.com/spreadsheets/d/11923uPwbBZFjjGgGUA6NLw09EwE0CqkOc4q9oUmW1yo/edit?usp=sharing"",""ลำปาง!J569"")"),0)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IFERROR(__xludf.DUMMYFUNCTION("IMPORTRANGE(""https://docs.google.com/spreadsheets/d/11923uPwbBZFjjGgGUA6NLw09EwE0CqkOc4q9oUmW1yo/edit?usp=sharing"",""ลำปาง!J570"")"),0)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IFERROR(__xludf.DUMMYFUNCTION("IMPORTRANGE(""https://docs.google.com/spreadsheets/d/11923uPwbBZFjjGgGUA6NLw09EwE0CqkOc4q9oUmW1yo/edit?usp=sharing"",""ลำปาง!J571"")"),0)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IFERROR(__xludf.DUMMYFUNCTION("IMPORTRANGE(""https://docs.google.com/spreadsheets/d/11923uPwbBZFjjGgGUA6NLw09EwE0CqkOc4q9oUmW1yo/edit?usp=sharing"",""ลำปาง!J572"")"),0)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3:P3"/>
    <mergeCell ref="A2:P2"/>
    <mergeCell ref="A1:P1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286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6619755</v>
      </c>
      <c r="M8" s="23">
        <f t="shared" ca="1" si="0"/>
        <v>4348636.25</v>
      </c>
      <c r="N8" s="23">
        <f t="shared" ca="1" si="0"/>
        <v>4856969.13</v>
      </c>
      <c r="O8" s="22">
        <f t="shared" ref="O8:O16" ca="1" si="1">IF(L8&gt;0,N8*100/L8,0)</f>
        <v>73.370829131893856</v>
      </c>
      <c r="P8" s="22">
        <f t="shared" ref="P8:P16" ca="1" si="2">IF(M8&gt;0,N8*100/M8,0)</f>
        <v>111.68947805188351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6619755</v>
      </c>
      <c r="M10" s="30">
        <f t="shared" ca="1" si="4"/>
        <v>4348636.25</v>
      </c>
      <c r="N10" s="30">
        <f t="shared" ca="1" si="4"/>
        <v>4856969.13</v>
      </c>
      <c r="O10" s="29">
        <f t="shared" ca="1" si="1"/>
        <v>73.370829131893856</v>
      </c>
      <c r="P10" s="29">
        <f t="shared" ca="1" si="2"/>
        <v>111.68947805188351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6370355</v>
      </c>
      <c r="M12" s="39">
        <f t="shared" ca="1" si="6"/>
        <v>4099236.25</v>
      </c>
      <c r="N12" s="39">
        <f t="shared" ca="1" si="6"/>
        <v>4607569.13</v>
      </c>
      <c r="O12" s="39">
        <f t="shared" ca="1" si="1"/>
        <v>72.328294576989819</v>
      </c>
      <c r="P12" s="39">
        <f t="shared" ca="1" si="2"/>
        <v>112.40067293023182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2233700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4136655</v>
      </c>
      <c r="M14" s="39">
        <f t="shared" si="8"/>
        <v>0</v>
      </c>
      <c r="N14" s="39">
        <f t="shared" ca="1" si="8"/>
        <v>1429629</v>
      </c>
      <c r="O14" s="39">
        <f t="shared" ca="1" si="1"/>
        <v>34.560024947693243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249400</v>
      </c>
      <c r="M16" s="39">
        <f t="shared" ca="1" si="10"/>
        <v>249400</v>
      </c>
      <c r="N16" s="39">
        <f t="shared" ca="1" si="10"/>
        <v>249400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4207545</v>
      </c>
      <c r="M18" s="23">
        <f t="shared" ca="1" si="11"/>
        <v>4348636.25</v>
      </c>
      <c r="N18" s="23">
        <f t="shared" ca="1" si="11"/>
        <v>3427340.13</v>
      </c>
      <c r="O18" s="22">
        <f t="shared" ref="O18:O20" ca="1" si="12">IF(L18&gt;0,N18*100/L18,0)</f>
        <v>81.457004737917245</v>
      </c>
      <c r="P18" s="22">
        <f t="shared" ref="P18:P26" ca="1" si="13">IF(M18&gt;0,N18*100/M18,0)</f>
        <v>78.81413696075407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4207545</v>
      </c>
      <c r="M20" s="30">
        <f t="shared" ca="1" si="15"/>
        <v>4348636.25</v>
      </c>
      <c r="N20" s="30">
        <f t="shared" ca="1" si="15"/>
        <v>3427340.13</v>
      </c>
      <c r="O20" s="29">
        <f t="shared" ca="1" si="12"/>
        <v>81.457004737917245</v>
      </c>
      <c r="P20" s="29">
        <f t="shared" ca="1" si="13"/>
        <v>78.81413696075407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3958145</v>
      </c>
      <c r="M22" s="42">
        <f t="shared" ca="1" si="18"/>
        <v>4099236.25</v>
      </c>
      <c r="N22" s="39">
        <f t="shared" ca="1" si="18"/>
        <v>3177940.13</v>
      </c>
      <c r="O22" s="39">
        <f t="shared" ca="1" si="17"/>
        <v>80.288623332394337</v>
      </c>
      <c r="P22" s="39">
        <f t="shared" ca="1" si="13"/>
        <v>77.525176305708172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2233700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1724445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249400</v>
      </c>
      <c r="M26" s="50">
        <f t="shared" ca="1" si="22"/>
        <v>249400</v>
      </c>
      <c r="N26" s="50">
        <f t="shared" ca="1" si="22"/>
        <v>249400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2412210</v>
      </c>
      <c r="M28" s="23">
        <f t="shared" si="23"/>
        <v>0</v>
      </c>
      <c r="N28" s="23">
        <f t="shared" ca="1" si="23"/>
        <v>1429629</v>
      </c>
      <c r="O28" s="22">
        <f t="shared" ref="O28:O30" ca="1" si="24">IF(L28&gt;0,N28*100/L28,0)</f>
        <v>59.266357406693444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2412210</v>
      </c>
      <c r="M30" s="30">
        <f t="shared" si="27"/>
        <v>0</v>
      </c>
      <c r="N30" s="30">
        <f t="shared" ca="1" si="27"/>
        <v>1429629</v>
      </c>
      <c r="O30" s="29">
        <f t="shared" ca="1" si="24"/>
        <v>59.266357406693444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2412210</v>
      </c>
      <c r="M32" s="39">
        <f t="shared" si="30"/>
        <v>0</v>
      </c>
      <c r="N32" s="39">
        <f t="shared" ca="1" si="30"/>
        <v>1429629</v>
      </c>
      <c r="O32" s="39">
        <f t="shared" ca="1" si="29"/>
        <v>59.266357406693444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2412210</v>
      </c>
      <c r="M34" s="39">
        <f t="shared" si="32"/>
        <v>0</v>
      </c>
      <c r="N34" s="39">
        <f t="shared" ca="1" si="32"/>
        <v>1429629</v>
      </c>
      <c r="O34" s="39">
        <f t="shared" ca="1" si="29"/>
        <v>59.266357406693444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4207545</v>
      </c>
      <c r="M37" s="55">
        <f t="shared" ca="1" si="33"/>
        <v>4348636.25</v>
      </c>
      <c r="N37" s="55">
        <f t="shared" ca="1" si="33"/>
        <v>3427340.13</v>
      </c>
      <c r="O37" s="56">
        <f t="shared" ca="1" si="29"/>
        <v>81.457004737917245</v>
      </c>
      <c r="P37" s="56">
        <f t="shared" ca="1" si="25"/>
        <v>78.81413696075407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758700</v>
      </c>
      <c r="M41" s="79">
        <f t="shared" ca="1" si="34"/>
        <v>758700</v>
      </c>
      <c r="N41" s="79">
        <f t="shared" ca="1" si="34"/>
        <v>670113.12</v>
      </c>
      <c r="O41" s="78">
        <f t="shared" ref="O41:O43" ca="1" si="35">IF(L41&gt;0,N41*100/L41,0)</f>
        <v>88.323859232898386</v>
      </c>
      <c r="P41" s="78">
        <f t="shared" ref="P41:P43" ca="1" si="36">IF(M41&gt;0,N41*100/M41,0)</f>
        <v>88.323859232898386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758700</v>
      </c>
      <c r="M43" s="79">
        <f t="shared" ca="1" si="38"/>
        <v>758700</v>
      </c>
      <c r="N43" s="79">
        <f t="shared" ca="1" si="38"/>
        <v>670113.12</v>
      </c>
      <c r="O43" s="78">
        <f t="shared" ca="1" si="35"/>
        <v>88.323859232898386</v>
      </c>
      <c r="P43" s="78">
        <f t="shared" ca="1" si="36"/>
        <v>88.323859232898386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758700</v>
      </c>
      <c r="M45" s="50">
        <f ca="1">IFERROR(__xludf.DUMMYFUNCTION("IMPORTRANGE(""https://docs.google.com/spreadsheets/d/1Yj_ptqi66GCucihVvJfMjLAmec39IyEx_6qawtMGysU/edit?usp=sharing"",""สบก!Q33"")"),758700)</f>
        <v>758700</v>
      </c>
      <c r="N45" s="50">
        <f ca="1">IFERROR(__xludf.DUMMYFUNCTION("IMPORTRANGE(""https://docs.google.com/spreadsheets/d/1Yj_ptqi66GCucihVvJfMjLAmec39IyEx_6qawtMGysU/edit?usp=sharing"",""สบก!R33"")"),670113.12)</f>
        <v>670113.12</v>
      </c>
      <c r="O45" s="39">
        <f ca="1">IF(L45&gt;0,N45*100/L45,0)</f>
        <v>88.323859232898386</v>
      </c>
      <c r="P45" s="39">
        <f ca="1">IF(M45&gt;0,N45*100/M45,0)</f>
        <v>88.323859232898386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IFERROR(__xludf.DUMMYFUNCTION("IMPORTRANGE(""https://docs.google.com/spreadsheets/d/1Yj_ptqi66GCucihVvJfMjLAmec39IyEx_6qawtMGysU/edit?usp=sharing"",""สบก!M33"")"),758700)</f>
        <v>758700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IFERROR(__xludf.DUMMYFUNCTION("IMPORTRANGE(""https://docs.google.com/spreadsheets/d/1Yj_ptqi66GCucihVvJfMjLAmec39IyEx_6qawtMGysU/edit?usp=sharing"",""สบก!N33"")"),0)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IFERROR(__xludf.DUMMYFUNCTION("IMPORTRANGE(""https://docs.google.com/spreadsheets/d/1Yj_ptqi66GCucihVvJfMjLAmec39IyEx_6qawtMGysU/edit?usp=sharing"",""สบก!O33"")"),0)</f>
        <v>0</v>
      </c>
      <c r="M49" s="50"/>
      <c r="N49" s="50">
        <f ca="1">IFERROR(__xludf.DUMMYFUNCTION("IMPORTRANGE(""https://docs.google.com/spreadsheets/d/1Yj_ptqi66GCucihVvJfMjLAmec39IyEx_6qawtMGysU/edit?usp=sharing"",""สบก!S33"")"),0)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608031.25</v>
      </c>
      <c r="N53" s="121">
        <f t="shared" ca="1" si="39"/>
        <v>492431.25</v>
      </c>
      <c r="O53" s="120">
        <f t="shared" ref="O53:O55" ca="1" si="40">IF(L53&gt;0,N53*100/L53,0)</f>
        <v>82.071875000000006</v>
      </c>
      <c r="P53" s="120">
        <f t="shared" ref="P53:P55" ca="1" si="41">IF(M53&gt;0,N53*100/M53,0)</f>
        <v>80.987819293827414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608031.25</v>
      </c>
      <c r="N55" s="121">
        <f t="shared" ca="1" si="43"/>
        <v>492431.25</v>
      </c>
      <c r="O55" s="120">
        <f t="shared" ca="1" si="40"/>
        <v>82.071875000000006</v>
      </c>
      <c r="P55" s="120">
        <f t="shared" ca="1" si="41"/>
        <v>80.987819293827414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600000</v>
      </c>
      <c r="M57" s="50">
        <f ca="1">IFERROR(__xludf.DUMMYFUNCTION("IMPORTRANGE(""https://docs.google.com/spreadsheets/d/1Yj_ptqi66GCucihVvJfMjLAmec39IyEx_6qawtMGysU/edit?usp=sharing"",""สบก!Z33"")"),608031.25)</f>
        <v>608031.25</v>
      </c>
      <c r="N57" s="50">
        <f ca="1">IFERROR(__xludf.DUMMYFUNCTION("IMPORTRANGE(""https://docs.google.com/spreadsheets/d/1Yj_ptqi66GCucihVvJfMjLAmec39IyEx_6qawtMGysU/edit?usp=sharing"",""สบก!AA33"")"),492431.25)</f>
        <v>492431.25</v>
      </c>
      <c r="O57" s="39">
        <f ca="1">IF(L57&gt;0,N57*100/L57,0)</f>
        <v>82.071875000000006</v>
      </c>
      <c r="P57" s="39">
        <f ca="1">IF(M57&gt;0,N57*100/M57,0)</f>
        <v>80.987819293827414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IFERROR(__xludf.DUMMYFUNCTION("IMPORTRANGE(""https://docs.google.com/spreadsheets/d/1Yj_ptqi66GCucihVvJfMjLAmec39IyEx_6qawtMGysU/edit?usp=sharing"",""สบก!V33"")"),600000)</f>
        <v>600000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IFERROR(__xludf.DUMMYFUNCTION("IMPORTRANGE(""https://docs.google.com/spreadsheets/d/1Yj_ptqi66GCucihVvJfMjLAmec39IyEx_6qawtMGysU/edit?usp=sharing"",""สบก!W33"")"),0)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IFERROR(__xludf.DUMMYFUNCTION("IMPORTRANGE(""https://docs.google.com/spreadsheets/d/1Yj_ptqi66GCucihVvJfMjLAmec39IyEx_6qawtMGysU/edit?usp=sharing"",""สบก!X33"")"),0)</f>
        <v>0</v>
      </c>
      <c r="M61" s="50"/>
      <c r="N61" s="50">
        <f ca="1">IFERROR(__xludf.DUMMYFUNCTION("IMPORTRANGE(""https://docs.google.com/spreadsheets/d/1Yj_ptqi66GCucihVvJfMjLAmec39IyEx_6qawtMGysU/edit?usp=sharing"",""สบก!AB33"")"),0)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IFERROR(__xludf.DUMMYFUNCTION("IMPORTRANGE(""https://docs.google.com/spreadsheets/d/11923uPwbBZFjjGgGUA6NLw09EwE0CqkOc4q9oUmW1yo/edit?usp=sharing"",""ลำพูน!I9"")"),1)</f>
        <v>1</v>
      </c>
      <c r="J64" s="142">
        <f ca="1">IFERROR(__xludf.DUMMYFUNCTION("IMPORTRANGE(""https://docs.google.com/spreadsheets/d/11923uPwbBZFjjGgGUA6NLw09EwE0CqkOc4q9oUmW1yo/edit?usp=sharing"",""ลำพูน!J9"")"),1)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IFERROR(__xludf.DUMMYFUNCTION("IMPORTRANGE(""https://docs.google.com/spreadsheets/d/11923uPwbBZFjjGgGUA6NLw09EwE0CqkOc4q9oUmW1yo/edit?usp=sharing"",""ลำพูน!I10"")"),35)</f>
        <v>35</v>
      </c>
      <c r="J65" s="142">
        <f ca="1">IFERROR(__xludf.DUMMYFUNCTION("IMPORTRANGE(""https://docs.google.com/spreadsheets/d/11923uPwbBZFjjGgGUA6NLw09EwE0CqkOc4q9oUmW1yo/edit?usp=sharing"",""ลำพูน!J10"")"),35)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591400</v>
      </c>
      <c r="M66" s="152">
        <f t="shared" ca="1" si="45"/>
        <v>642320</v>
      </c>
      <c r="N66" s="152">
        <f t="shared" ca="1" si="45"/>
        <v>507348</v>
      </c>
      <c r="O66" s="151">
        <f t="shared" ref="O66:O68" ca="1" si="46">IF(L66&gt;0,N66*100/L66,0)</f>
        <v>85.787622590463315</v>
      </c>
      <c r="P66" s="151">
        <f t="shared" ref="P66:P68" ca="1" si="47">IF(M66&gt;0,N66*100/M66,0)</f>
        <v>78.986797857765595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591400</v>
      </c>
      <c r="M68" s="88">
        <f t="shared" ca="1" si="49"/>
        <v>642320</v>
      </c>
      <c r="N68" s="88">
        <f t="shared" ca="1" si="49"/>
        <v>507348</v>
      </c>
      <c r="O68" s="156">
        <f t="shared" ca="1" si="46"/>
        <v>85.787622590463315</v>
      </c>
      <c r="P68" s="156">
        <f t="shared" ca="1" si="47"/>
        <v>78.986797857765595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591400</v>
      </c>
      <c r="M70" s="167">
        <f ca="1">IFERROR(__xludf.DUMMYFUNCTION("IMPORTRANGE(""https://docs.google.com/spreadsheets/d/1Yj_ptqi66GCucihVvJfMjLAmec39IyEx_6qawtMGysU/edit?usp=sharing"",""สบก!AI33"")"),642320)</f>
        <v>642320</v>
      </c>
      <c r="N70" s="168">
        <f ca="1">IFERROR(__xludf.DUMMYFUNCTION("IMPORTRANGE(""https://docs.google.com/spreadsheets/d/1Yj_ptqi66GCucihVvJfMjLAmec39IyEx_6qawtMGysU/edit?usp=sharing"",""สบก!AJ33"")"),507348)</f>
        <v>507348</v>
      </c>
      <c r="O70" s="168">
        <f ca="1">IF(L70&gt;0,N70*100/L70,0)</f>
        <v>85.787622590463315</v>
      </c>
      <c r="P70" s="168">
        <f ca="1">IF(M70&gt;0,N70*100/M70,0)</f>
        <v>78.986797857765595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IFERROR(__xludf.DUMMYFUNCTION("IMPORTRANGE(""https://docs.google.com/spreadsheets/d/1Yj_ptqi66GCucihVvJfMjLAmec39IyEx_6qawtMGysU/edit?usp=sharing"",""สบก!AE33"")"),193400)</f>
        <v>193400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IFERROR(__xludf.DUMMYFUNCTION("IMPORTRANGE(""https://docs.google.com/spreadsheets/d/1Yj_ptqi66GCucihVvJfMjLAmec39IyEx_6qawtMGysU/edit?usp=sharing"",""สบก!AF33"")"),398000)</f>
        <v>398000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IFERROR(__xludf.DUMMYFUNCTION("IMPORTRANGE(""https://docs.google.com/spreadsheets/d/1Yj_ptqi66GCucihVvJfMjLAmec39IyEx_6qawtMGysU/edit?usp=sharing"",""สบก!AG33"")"),0)</f>
        <v>0</v>
      </c>
      <c r="M74" s="50"/>
      <c r="N74" s="50">
        <f ca="1">IFERROR(__xludf.DUMMYFUNCTION("IMPORTRANGE(""https://docs.google.com/spreadsheets/d/1Yj_ptqi66GCucihVvJfMjLAmec39IyEx_6qawtMGysU/edit?usp=sharing"",""สบก!AK33"")"),0)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IFERROR(__xludf.DUMMYFUNCTION("IMPORTRANGE(""https://docs.google.com/spreadsheets/d/11923uPwbBZFjjGgGUA6NLw09EwE0CqkOc4q9oUmW1yo/edit?usp=sharing"",""ลำพูน!J16"")"),0)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IFERROR(__xludf.DUMMYFUNCTION("IMPORTRANGE(""https://docs.google.com/spreadsheets/d/11923uPwbBZFjjGgGUA6NLw09EwE0CqkOc4q9oUmW1yo/edit?usp=sharing"",""ลำพูน!J17"")"),1)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IFERROR(__xludf.DUMMYFUNCTION("IMPORTRANGE(""https://docs.google.com/spreadsheets/d/11923uPwbBZFjjGgGUA6NLw09EwE0CqkOc4q9oUmW1yo/edit?usp=sharing"",""ลำพูน!J18"")"),1)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IFERROR(__xludf.DUMMYFUNCTION("IMPORTRANGE(""https://docs.google.com/spreadsheets/d/11923uPwbBZFjjGgGUA6NLw09EwE0CqkOc4q9oUmW1yo/edit?usp=sharing"",""ลำพูน!J19"")"),1)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IFERROR(__xludf.DUMMYFUNCTION("IMPORTRANGE(""https://docs.google.com/spreadsheets/d/11923uPwbBZFjjGgGUA6NLw09EwE0CqkOc4q9oUmW1yo/edit?usp=sharing"",""ลำพูน!I20"")"),1)</f>
        <v>1</v>
      </c>
      <c r="J80" s="200">
        <f ca="1">IFERROR(__xludf.DUMMYFUNCTION("IMPORTRANGE(""https://docs.google.com/spreadsheets/d/11923uPwbBZFjjGgGUA6NLw09EwE0CqkOc4q9oUmW1yo/edit?usp=sharing"",""ลำพูน!J20"")"),1)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IFERROR(__xludf.DUMMYFUNCTION("IMPORTRANGE(""https://docs.google.com/spreadsheets/d/11923uPwbBZFjjGgGUA6NLw09EwE0CqkOc4q9oUmW1yo/edit?usp=sharing"",""ลำพูน!I21"")"),35)</f>
        <v>35</v>
      </c>
      <c r="J81" s="200">
        <f ca="1">IFERROR(__xludf.DUMMYFUNCTION("IMPORTRANGE(""https://docs.google.com/spreadsheets/d/11923uPwbBZFjjGgGUA6NLw09EwE0CqkOc4q9oUmW1yo/edit?usp=sharing"",""ลำพูน!J21"")"),35)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IFERROR(__xludf.DUMMYFUNCTION("IMPORTRANGE(""https://docs.google.com/spreadsheets/d/11923uPwbBZFjjGgGUA6NLw09EwE0CqkOc4q9oUmW1yo/edit?usp=sharing"",""ลำพูน!I22"")"),1)</f>
        <v>1</v>
      </c>
      <c r="J82" s="203">
        <f ca="1">IFERROR(__xludf.DUMMYFUNCTION("IMPORTRANGE(""https://docs.google.com/spreadsheets/d/11923uPwbBZFjjGgGUA6NLw09EwE0CqkOc4q9oUmW1yo/edit?usp=sharing"",""ลำพูน!J22"")"),1)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IFERROR(__xludf.DUMMYFUNCTION("IMPORTRANGE(""https://docs.google.com/spreadsheets/d/11923uPwbBZFjjGgGUA6NLw09EwE0CqkOc4q9oUmW1yo/edit?usp=sharing"",""ลำพูน!I23"")"),35)</f>
        <v>35</v>
      </c>
      <c r="J83" s="203">
        <f ca="1">IFERROR(__xludf.DUMMYFUNCTION("IMPORTRANGE(""https://docs.google.com/spreadsheets/d/11923uPwbBZFjjGgGUA6NLw09EwE0CqkOc4q9oUmW1yo/edit?usp=sharing"",""ลำพูน!J23"")"),35)</f>
        <v>35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IFERROR(__xludf.DUMMYFUNCTION("IMPORTRANGE(""https://docs.google.com/spreadsheets/d/11923uPwbBZFjjGgGUA6NLw09EwE0CqkOc4q9oUmW1yo/edit?usp=sharing"",""ลำพูน!I24"")"),0)</f>
        <v>0</v>
      </c>
      <c r="J84" s="188">
        <f ca="1">IFERROR(__xludf.DUMMYFUNCTION("IMPORTRANGE(""https://docs.google.com/spreadsheets/d/11923uPwbBZFjjGgGUA6NLw09EwE0CqkOc4q9oUmW1yo/edit?usp=sharing"",""ลำพูน!J24"")"),0)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IFERROR(__xludf.DUMMYFUNCTION("IMPORTRANGE(""https://docs.google.com/spreadsheets/d/11923uPwbBZFjjGgGUA6NLw09EwE0CqkOc4q9oUmW1yo/edit?usp=sharing"",""ลำพูน!I25"")"),0)</f>
        <v>0</v>
      </c>
      <c r="J85" s="188">
        <f ca="1">IFERROR(__xludf.DUMMYFUNCTION("IMPORTRANGE(""https://docs.google.com/spreadsheets/d/11923uPwbBZFjjGgGUA6NLw09EwE0CqkOc4q9oUmW1yo/edit?usp=sharing"",""ลำพูน!J25"")"),0)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IFERROR(__xludf.DUMMYFUNCTION("IMPORTRANGE(""https://docs.google.com/spreadsheets/d/11923uPwbBZFjjGgGUA6NLw09EwE0CqkOc4q9oUmW1yo/edit?usp=sharing"",""ลำพูน!I26"")"),0)</f>
        <v>0</v>
      </c>
      <c r="J86" s="203">
        <f ca="1">IFERROR(__xludf.DUMMYFUNCTION("IMPORTRANGE(""https://docs.google.com/spreadsheets/d/11923uPwbBZFjjGgGUA6NLw09EwE0CqkOc4q9oUmW1yo/edit?usp=sharing"",""ลำพูน!J26"")"),0)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IFERROR(__xludf.DUMMYFUNCTION("IMPORTRANGE(""https://docs.google.com/spreadsheets/d/11923uPwbBZFjjGgGUA6NLw09EwE0CqkOc4q9oUmW1yo/edit?usp=sharing"",""ลำพูน!I27"")"),0)</f>
        <v>0</v>
      </c>
      <c r="J87" s="203">
        <f ca="1">IFERROR(__xludf.DUMMYFUNCTION("IMPORTRANGE(""https://docs.google.com/spreadsheets/d/11923uPwbBZFjjGgGUA6NLw09EwE0CqkOc4q9oUmW1yo/edit?usp=sharing"",""ลำพูน!J27"")"),0)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IFERROR(__xludf.DUMMYFUNCTION("IMPORTRANGE(""https://docs.google.com/spreadsheets/d/11923uPwbBZFjjGgGUA6NLw09EwE0CqkOc4q9oUmW1yo/edit?usp=sharing"",""ลำพูน!I28"")"),1)</f>
        <v>1</v>
      </c>
      <c r="J88" s="203">
        <f ca="1">IFERROR(__xludf.DUMMYFUNCTION("IMPORTRANGE(""https://docs.google.com/spreadsheets/d/11923uPwbBZFjjGgGUA6NLw09EwE0CqkOc4q9oUmW1yo/edit?usp=sharing"",""ลำพูน!J28"")"),1)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IFERROR(__xludf.DUMMYFUNCTION("IMPORTRANGE(""https://docs.google.com/spreadsheets/d/11923uPwbBZFjjGgGUA6NLw09EwE0CqkOc4q9oUmW1yo/edit?usp=sharing"",""ลำพูน!J29"")"),0)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IFERROR(__xludf.DUMMYFUNCTION("IMPORTRANGE(""https://docs.google.com/spreadsheets/d/11923uPwbBZFjjGgGUA6NLw09EwE0CqkOc4q9oUmW1yo/edit?usp=sharing"",""ลำพูน!J30"")"),0)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IFERROR(__xludf.DUMMYFUNCTION("IMPORTRANGE(""https://docs.google.com/spreadsheets/d/11923uPwbBZFjjGgGUA6NLw09EwE0CqkOc4q9oUmW1yo/edit?usp=sharing"",""ลำพูน!I32"")"),0)</f>
        <v>0</v>
      </c>
      <c r="J92" s="142">
        <f ca="1">IFERROR(__xludf.DUMMYFUNCTION("IMPORTRANGE(""https://docs.google.com/spreadsheets/d/11923uPwbBZFjjGgGUA6NLw09EwE0CqkOc4q9oUmW1yo/edit?usp=sharing"",""ลำพูน!J32"")"),0)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IFERROR(__xludf.DUMMYFUNCTION("IMPORTRANGE(""https://docs.google.com/spreadsheets/d/11923uPwbBZFjjGgGUA6NLw09EwE0CqkOc4q9oUmW1yo/edit?usp=sharing"",""ลำพูน!I33"")"),0)</f>
        <v>0</v>
      </c>
      <c r="J93" s="142">
        <f ca="1">IFERROR(__xludf.DUMMYFUNCTION("IMPORTRANGE(""https://docs.google.com/spreadsheets/d/11923uPwbBZFjjGgGUA6NLw09EwE0CqkOc4q9oUmW1yo/edit?usp=sharing"",""ลำพูน!J33"")"),0)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IFERROR(__xludf.DUMMYFUNCTION("IMPORTRANGE(""https://docs.google.com/spreadsheets/d/1Yj_ptqi66GCucihVvJfMjLAmec39IyEx_6qawtMGysU/edit?usp=sharing"",""สบก!AR33"")"),0)</f>
        <v>0</v>
      </c>
      <c r="N98" s="168">
        <f ca="1">IFERROR(__xludf.DUMMYFUNCTION("IMPORTRANGE(""https://docs.google.com/spreadsheets/d/1Yj_ptqi66GCucihVvJfMjLAmec39IyEx_6qawtMGysU/edit?usp=sharing"",""สบก!AS33"")"),0)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IFERROR(__xludf.DUMMYFUNCTION("IMPORTRANGE(""https://docs.google.com/spreadsheets/d/1Yj_ptqi66GCucihVvJfMjLAmec39IyEx_6qawtMGysU/edit?usp=sharing"",""สบก!AN33"")"),0)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IFERROR(__xludf.DUMMYFUNCTION("IMPORTRANGE(""https://docs.google.com/spreadsheets/d/1Yj_ptqi66GCucihVvJfMjLAmec39IyEx_6qawtMGysU/edit?usp=sharing"",""สบก!AO33"")"),0)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IFERROR(__xludf.DUMMYFUNCTION("IMPORTRANGE(""https://docs.google.com/spreadsheets/d/1Yj_ptqi66GCucihVvJfMjLAmec39IyEx_6qawtMGysU/edit?usp=sharing"",""สบก!AP33"")"),0)</f>
        <v>0</v>
      </c>
      <c r="M102" s="50"/>
      <c r="N102" s="50">
        <f ca="1">IFERROR(__xludf.DUMMYFUNCTION("IMPORTRANGE(""https://docs.google.com/spreadsheets/d/1Yj_ptqi66GCucihVvJfMjLAmec39IyEx_6qawtMGysU/edit?usp=sharing"",""สบก!AT33"")"),0)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IFERROR(__xludf.DUMMYFUNCTION("IMPORTRANGE(""https://docs.google.com/spreadsheets/d/11923uPwbBZFjjGgGUA6NLw09EwE0CqkOc4q9oUmW1yo/edit?usp=sharing"",""ลำพูน!J39"")"),0)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IFERROR(__xludf.DUMMYFUNCTION("IMPORTRANGE(""https://docs.google.com/spreadsheets/d/11923uPwbBZFjjGgGUA6NLw09EwE0CqkOc4q9oUmW1yo/edit?usp=sharing"",""ลำพูน!J40"")"),0)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IFERROR(__xludf.DUMMYFUNCTION("IMPORTRANGE(""https://docs.google.com/spreadsheets/d/11923uPwbBZFjjGgGUA6NLw09EwE0CqkOc4q9oUmW1yo/edit?usp=sharing"",""ลำพูน!J41"")"),0)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IFERROR(__xludf.DUMMYFUNCTION("IMPORTRANGE(""https://docs.google.com/spreadsheets/d/11923uPwbBZFjjGgGUA6NLw09EwE0CqkOc4q9oUmW1yo/edit?usp=sharing"",""ลำพูน!J42"")"),0)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IFERROR(__xludf.DUMMYFUNCTION("IMPORTRANGE(""https://docs.google.com/spreadsheets/d/11923uPwbBZFjjGgGUA6NLw09EwE0CqkOc4q9oUmW1yo/edit?usp=sharing"",""ลำพูน!I43"")"),0)</f>
        <v>0</v>
      </c>
      <c r="J108" s="203">
        <f ca="1">IFERROR(__xludf.DUMMYFUNCTION("IMPORTRANGE(""https://docs.google.com/spreadsheets/d/11923uPwbBZFjjGgGUA6NLw09EwE0CqkOc4q9oUmW1yo/edit?usp=sharing"",""ลำพูน!J43"")"),0)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IFERROR(__xludf.DUMMYFUNCTION("IMPORTRANGE(""https://docs.google.com/spreadsheets/d/11923uPwbBZFjjGgGUA6NLw09EwE0CqkOc4q9oUmW1yo/edit?usp=sharing"",""ลำพูน!I44"")"),0)</f>
        <v>0</v>
      </c>
      <c r="J109" s="203">
        <f ca="1">IFERROR(__xludf.DUMMYFUNCTION("IMPORTRANGE(""https://docs.google.com/spreadsheets/d/11923uPwbBZFjjGgGUA6NLw09EwE0CqkOc4q9oUmW1yo/edit?usp=sharing"",""ลำพูน!J44"")"),0)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IFERROR(__xludf.DUMMYFUNCTION("IMPORTRANGE(""https://docs.google.com/spreadsheets/d/11923uPwbBZFjjGgGUA6NLw09EwE0CqkOc4q9oUmW1yo/edit?usp=sharing"",""ลำพูน!I45"")"),0)</f>
        <v>0</v>
      </c>
      <c r="J110" s="203">
        <f ca="1">IFERROR(__xludf.DUMMYFUNCTION("IMPORTRANGE(""https://docs.google.com/spreadsheets/d/11923uPwbBZFjjGgGUA6NLw09EwE0CqkOc4q9oUmW1yo/edit?usp=sharing"",""ลำพูน!J45"")"),0)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IFERROR(__xludf.DUMMYFUNCTION("IMPORTRANGE(""https://docs.google.com/spreadsheets/d/11923uPwbBZFjjGgGUA6NLw09EwE0CqkOc4q9oUmW1yo/edit?usp=sharing"",""ลำพูน!I46"")"),0)</f>
        <v>0</v>
      </c>
      <c r="J111" s="203">
        <f ca="1">IFERROR(__xludf.DUMMYFUNCTION("IMPORTRANGE(""https://docs.google.com/spreadsheets/d/11923uPwbBZFjjGgGUA6NLw09EwE0CqkOc4q9oUmW1yo/edit?usp=sharing"",""ลำพูน!J46"")"),0)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IFERROR(__xludf.DUMMYFUNCTION("IMPORTRANGE(""https://docs.google.com/spreadsheets/d/11923uPwbBZFjjGgGUA6NLw09EwE0CqkOc4q9oUmW1yo/edit?usp=sharing"",""ลำพูน!I47"")"),0)</f>
        <v>0</v>
      </c>
      <c r="J112" s="203">
        <f ca="1">IFERROR(__xludf.DUMMYFUNCTION("IMPORTRANGE(""https://docs.google.com/spreadsheets/d/11923uPwbBZFjjGgGUA6NLw09EwE0CqkOc4q9oUmW1yo/edit?usp=sharing"",""ลำพูน!J47"")"),0)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IFERROR(__xludf.DUMMYFUNCTION("IMPORTRANGE(""https://docs.google.com/spreadsheets/d/11923uPwbBZFjjGgGUA6NLw09EwE0CqkOc4q9oUmW1yo/edit?usp=sharing"",""ลำพูน!I48"")"),0)</f>
        <v>0</v>
      </c>
      <c r="J113" s="203">
        <f ca="1">IFERROR(__xludf.DUMMYFUNCTION("IMPORTRANGE(""https://docs.google.com/spreadsheets/d/11923uPwbBZFjjGgGUA6NLw09EwE0CqkOc4q9oUmW1yo/edit?usp=sharing"",""ลำพูน!J48"")"),0)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IFERROR(__xludf.DUMMYFUNCTION("IMPORTRANGE(""https://docs.google.com/spreadsheets/d/11923uPwbBZFjjGgGUA6NLw09EwE0CqkOc4q9oUmW1yo/edit?usp=sharing"",""ลำพูน!J49"")"),0)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IFERROR(__xludf.DUMMYFUNCTION("IMPORTRANGE(""https://docs.google.com/spreadsheets/d/11923uPwbBZFjjGgGUA6NLw09EwE0CqkOc4q9oUmW1yo/edit?usp=sharing"",""ลำพูน!J50"")"),0)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IFERROR(__xludf.DUMMYFUNCTION("IMPORTRANGE(""https://docs.google.com/spreadsheets/d/11923uPwbBZFjjGgGUA6NLw09EwE0CqkOc4q9oUmW1yo/edit?usp=sharing"",""ลำพูน!I52"")"),20)</f>
        <v>20</v>
      </c>
      <c r="J117" s="142">
        <f ca="1">IFERROR(__xludf.DUMMYFUNCTION("IMPORTRANGE(""https://docs.google.com/spreadsheets/d/11923uPwbBZFjjGgGUA6NLw09EwE0CqkOc4q9oUmW1yo/edit?usp=sharing"",""ลำพูน!J52"")"),20)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58090</v>
      </c>
      <c r="O118" s="151">
        <f t="shared" ref="O118:O120" ca="1" si="59">IF(L118&gt;0,N118*100/L118,0)</f>
        <v>70.463367297428434</v>
      </c>
      <c r="P118" s="151">
        <f t="shared" ref="P118:P120" ca="1" si="60">IF(M118&gt;0,N118*100/M118,0)</f>
        <v>70.463367297428434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58090</v>
      </c>
      <c r="O120" s="156">
        <f t="shared" ca="1" si="59"/>
        <v>70.463367297428434</v>
      </c>
      <c r="P120" s="156">
        <f t="shared" ca="1" si="60"/>
        <v>70.463367297428434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IFERROR(__xludf.DUMMYFUNCTION("IMPORTRANGE(""https://docs.google.com/spreadsheets/d/1Yj_ptqi66GCucihVvJfMjLAmec39IyEx_6qawtMGysU/edit?usp=sharing"",""สบก!BA33"")"),82440)</f>
        <v>82440</v>
      </c>
      <c r="N122" s="168">
        <f ca="1">IFERROR(__xludf.DUMMYFUNCTION("IMPORTRANGE(""https://docs.google.com/spreadsheets/d/1Yj_ptqi66GCucihVvJfMjLAmec39IyEx_6qawtMGysU/edit?usp=sharing"",""สบก!BB33"")"),58090)</f>
        <v>58090</v>
      </c>
      <c r="O122" s="168">
        <f ca="1">IF(L122&gt;0,N122*100/L122,0)</f>
        <v>70.463367297428434</v>
      </c>
      <c r="P122" s="168">
        <f ca="1">IF(M122&gt;0,N122*100/M122,0)</f>
        <v>70.463367297428434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IFERROR(__xludf.DUMMYFUNCTION("IMPORTRANGE(""https://docs.google.com/spreadsheets/d/1Yj_ptqi66GCucihVvJfMjLAmec39IyEx_6qawtMGysU/edit?usp=sharing"",""สบก!AW33"")"),0)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IFERROR(__xludf.DUMMYFUNCTION("IMPORTRANGE(""https://docs.google.com/spreadsheets/d/1Yj_ptqi66GCucihVvJfMjLAmec39IyEx_6qawtMGysU/edit?usp=sharing"",""สบก!AX33"")"),82440)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IFERROR(__xludf.DUMMYFUNCTION("IMPORTRANGE(""https://docs.google.com/spreadsheets/d/1Yj_ptqi66GCucihVvJfMjLAmec39IyEx_6qawtMGysU/edit?usp=sharing"",""สบก!AY33"")"),0)</f>
        <v>0</v>
      </c>
      <c r="M126" s="50"/>
      <c r="N126" s="50">
        <f ca="1">IFERROR(__xludf.DUMMYFUNCTION("IMPORTRANGE(""https://docs.google.com/spreadsheets/d/1Yj_ptqi66GCucihVvJfMjLAmec39IyEx_6qawtMGysU/edit?usp=sharing"",""สบก!BC33"")"),0)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IFERROR(__xludf.DUMMYFUNCTION("IMPORTRANGE(""https://docs.google.com/spreadsheets/d/11923uPwbBZFjjGgGUA6NLw09EwE0CqkOc4q9oUmW1yo/edit?usp=sharing"",""ลำพูน!J58"")"),0)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IFERROR(__xludf.DUMMYFUNCTION("IMPORTRANGE(""https://docs.google.com/spreadsheets/d/11923uPwbBZFjjGgGUA6NLw09EwE0CqkOc4q9oUmW1yo/edit?usp=sharing"",""ลำพูน!J59"")"),1)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IFERROR(__xludf.DUMMYFUNCTION("IMPORTRANGE(""https://docs.google.com/spreadsheets/d/11923uPwbBZFjjGgGUA6NLw09EwE0CqkOc4q9oUmW1yo/edit?usp=sharing"",""ลำพูน!J60"")"),1)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IFERROR(__xludf.DUMMYFUNCTION("IMPORTRANGE(""https://docs.google.com/spreadsheets/d/11923uPwbBZFjjGgGUA6NLw09EwE0CqkOc4q9oUmW1yo/edit?usp=sharing"",""ลำพูน!J61"")"),1)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IFERROR(__xludf.DUMMYFUNCTION("IMPORTRANGE(""https://docs.google.com/spreadsheets/d/11923uPwbBZFjjGgGUA6NLw09EwE0CqkOc4q9oUmW1yo/edit?usp=sharing"",""ลำพูน!I62"")"),20)</f>
        <v>20</v>
      </c>
      <c r="J132" s="203">
        <f ca="1">IFERROR(__xludf.DUMMYFUNCTION("IMPORTRANGE(""https://docs.google.com/spreadsheets/d/11923uPwbBZFjjGgGUA6NLw09EwE0CqkOc4q9oUmW1yo/edit?usp=sharing"",""ลำพูน!J62"")"),20)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IFERROR(__xludf.DUMMYFUNCTION("IMPORTRANGE(""https://docs.google.com/spreadsheets/d/11923uPwbBZFjjGgGUA6NLw09EwE0CqkOc4q9oUmW1yo/edit?usp=sharing"",""ลำพูน!I63"")"),20)</f>
        <v>20</v>
      </c>
      <c r="J133" s="203">
        <f ca="1">IFERROR(__xludf.DUMMYFUNCTION("IMPORTRANGE(""https://docs.google.com/spreadsheets/d/11923uPwbBZFjjGgGUA6NLw09EwE0CqkOc4q9oUmW1yo/edit?usp=sharing"",""ลำพูน!J63"")"),20)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IFERROR(__xludf.DUMMYFUNCTION("IMPORTRANGE(""https://docs.google.com/spreadsheets/d/11923uPwbBZFjjGgGUA6NLw09EwE0CqkOc4q9oUmW1yo/edit?usp=sharing"",""ลำพูน!J64"")"),0)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IFERROR(__xludf.DUMMYFUNCTION("IMPORTRANGE(""https://docs.google.com/spreadsheets/d/11923uPwbBZFjjGgGUA6NLw09EwE0CqkOc4q9oUmW1yo/edit?usp=sharing"",""ลำพูน!J65"")"),0)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IFERROR(__xludf.DUMMYFUNCTION("IMPORTRANGE(""https://docs.google.com/spreadsheets/d/11923uPwbBZFjjGgGUA6NLw09EwE0CqkOc4q9oUmW1yo/edit?usp=sharing"",""ลำพูน!I68"")"),150)</f>
        <v>150</v>
      </c>
      <c r="J138" s="267">
        <f ca="1">IFERROR(__xludf.DUMMYFUNCTION("IMPORTRANGE(""https://docs.google.com/spreadsheets/d/11923uPwbBZFjjGgGUA6NLw09EwE0CqkOc4q9oUmW1yo/edit?usp=sharing"",""ลำพูน!J68"")"),150)</f>
        <v>150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1352900</v>
      </c>
      <c r="M140" s="152">
        <f t="shared" ca="1" si="64"/>
        <v>1407000</v>
      </c>
      <c r="N140" s="152">
        <f t="shared" ca="1" si="64"/>
        <v>1096581.76</v>
      </c>
      <c r="O140" s="151">
        <f t="shared" ref="O140:O142" ca="1" si="65">IF(L140&gt;0,N140*100/L140,0)</f>
        <v>81.054162170153006</v>
      </c>
      <c r="P140" s="151">
        <f t="shared" ref="P140:P142" ca="1" si="66">IF(M140&gt;0,N140*100/M140,0)</f>
        <v>77.937580668088131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1352900</v>
      </c>
      <c r="M142" s="88">
        <f t="shared" ca="1" si="68"/>
        <v>1407000</v>
      </c>
      <c r="N142" s="88">
        <f t="shared" ca="1" si="68"/>
        <v>1096581.76</v>
      </c>
      <c r="O142" s="156">
        <f t="shared" ca="1" si="65"/>
        <v>81.054162170153006</v>
      </c>
      <c r="P142" s="156">
        <f t="shared" ca="1" si="66"/>
        <v>77.937580668088131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1114900</v>
      </c>
      <c r="M144" s="167">
        <f ca="1">IFERROR(__xludf.DUMMYFUNCTION("IMPORTRANGE(""https://docs.google.com/spreadsheets/d/1Yj_ptqi66GCucihVvJfMjLAmec39IyEx_6qawtMGysU/edit?usp=sharing"",""สบก!BJ33"")"),1169000)</f>
        <v>1169000</v>
      </c>
      <c r="N144" s="168">
        <f ca="1">IFERROR(__xludf.DUMMYFUNCTION("IMPORTRANGE(""https://docs.google.com/spreadsheets/d/1Yj_ptqi66GCucihVvJfMjLAmec39IyEx_6qawtMGysU/edit?usp=sharing"",""สบก!BK33"")"),858581.76)</f>
        <v>858581.76</v>
      </c>
      <c r="O144" s="168">
        <f ca="1">IF(L144&gt;0,N144*100/L144,0)</f>
        <v>77.009755134989689</v>
      </c>
      <c r="P144" s="168">
        <f ca="1">IF(M144&gt;0,N144*100/M144,0)</f>
        <v>73.445830624465358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IFERROR(__xludf.DUMMYFUNCTION("IMPORTRANGE(""https://docs.google.com/spreadsheets/d/1Yj_ptqi66GCucihVvJfMjLAmec39IyEx_6qawtMGysU/edit?usp=sharing"",""สบก!BF33"")"),264000)</f>
        <v>264000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IFERROR(__xludf.DUMMYFUNCTION("IMPORTRANGE(""https://docs.google.com/spreadsheets/d/1Yj_ptqi66GCucihVvJfMjLAmec39IyEx_6qawtMGysU/edit?usp=sharing"",""สบก!BG33"")"),850900)</f>
        <v>850900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IFERROR(__xludf.DUMMYFUNCTION("IMPORTRANGE(""https://docs.google.com/spreadsheets/d/1Yj_ptqi66GCucihVvJfMjLAmec39IyEx_6qawtMGysU/edit?usp=sharing"",""สบก!BH33"")"),238000)</f>
        <v>238000</v>
      </c>
      <c r="M148" s="50">
        <f ca="1">L148</f>
        <v>238000</v>
      </c>
      <c r="N148" s="50">
        <f ca="1">IFERROR(__xludf.DUMMYFUNCTION("IMPORTRANGE(""https://docs.google.com/spreadsheets/d/1Yj_ptqi66GCucihVvJfMjLAmec39IyEx_6qawtMGysU/edit?usp=sharing"",""สบก!BL33"")"),238000)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IFERROR(__xludf.DUMMYFUNCTION("IMPORTRANGE(""https://docs.google.com/spreadsheets/d/11923uPwbBZFjjGgGUA6NLw09EwE0CqkOc4q9oUmW1yo/edit?usp=sharing"",""ลำพูน!I74"")"),4)</f>
        <v>4</v>
      </c>
      <c r="J149" s="275">
        <f ca="1">IFERROR(__xludf.DUMMYFUNCTION("IMPORTRANGE(""https://docs.google.com/spreadsheets/d/11923uPwbBZFjjGgGUA6NLw09EwE0CqkOc4q9oUmW1yo/edit?usp=sharing"",""ลำพูน!J74"")"),3)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IFERROR(__xludf.DUMMYFUNCTION("IMPORTRANGE(""https://docs.google.com/spreadsheets/d/11923uPwbBZFjjGgGUA6NLw09EwE0CqkOc4q9oUmW1yo/edit?usp=sharing"",""ลำพูน!J79"")"),0)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IFERROR(__xludf.DUMMYFUNCTION("IMPORTRANGE(""https://docs.google.com/spreadsheets/d/11923uPwbBZFjjGgGUA6NLw09EwE0CqkOc4q9oUmW1yo/edit?usp=sharing"",""ลำพูน!J80"")"),1)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IFERROR(__xludf.DUMMYFUNCTION("IMPORTRANGE(""https://docs.google.com/spreadsheets/d/11923uPwbBZFjjGgGUA6NLw09EwE0CqkOc4q9oUmW1yo/edit?usp=sharing"",""ลำพูน!J81"")"),1)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IFERROR(__xludf.DUMMYFUNCTION("IMPORTRANGE(""https://docs.google.com/spreadsheets/d/11923uPwbBZFjjGgGUA6NLw09EwE0CqkOc4q9oUmW1yo/edit?usp=sharing"",""ลำพูน!J82"")"),1)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IFERROR(__xludf.DUMMYFUNCTION("IMPORTRANGE(""https://docs.google.com/spreadsheets/d/11923uPwbBZFjjGgGUA6NLw09EwE0CqkOc4q9oUmW1yo/edit?usp=sharing"",""ลำพูน!I83"")"),4)</f>
        <v>4</v>
      </c>
      <c r="J158" s="188">
        <f ca="1">IFERROR(__xludf.DUMMYFUNCTION("IMPORTRANGE(""https://docs.google.com/spreadsheets/d/11923uPwbBZFjjGgGUA6NLw09EwE0CqkOc4q9oUmW1yo/edit?usp=sharing"",""ลำพูน!J83"")"),3)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IFERROR(__xludf.DUMMYFUNCTION("IMPORTRANGE(""https://docs.google.com/spreadsheets/d/11923uPwbBZFjjGgGUA6NLw09EwE0CqkOc4q9oUmW1yo/edit?usp=sharing"",""ลำพูน!J84"")"),151)</f>
        <v>151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IFERROR(__xludf.DUMMYFUNCTION("IMPORTRANGE(""https://docs.google.com/spreadsheets/d/11923uPwbBZFjjGgGUA6NLw09EwE0CqkOc4q9oUmW1yo/edit?usp=sharing"",""ลำพูน!J85"")"),151)</f>
        <v>151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IFERROR(__xludf.DUMMYFUNCTION("IMPORTRANGE(""https://docs.google.com/spreadsheets/d/11923uPwbBZFjjGgGUA6NLw09EwE0CqkOc4q9oUmW1yo/edit?usp=sharing"",""ลำพูน!J86"")"),0)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IFERROR(__xludf.DUMMYFUNCTION("IMPORTRANGE(""https://docs.google.com/spreadsheets/d/11923uPwbBZFjjGgGUA6NLw09EwE0CqkOc4q9oUmW1yo/edit?usp=sharing"",""ลำพูน!J87"")"),0)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IFERROR(__xludf.DUMMYFUNCTION("IMPORTRANGE(""https://docs.google.com/spreadsheets/d/11923uPwbBZFjjGgGUA6NLw09EwE0CqkOc4q9oUmW1yo/edit?usp=sharing"",""ลำพูน!J88"")"),0)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IFERROR(__xludf.DUMMYFUNCTION("IMPORTRANGE(""https://docs.google.com/spreadsheets/d/11923uPwbBZFjjGgGUA6NLw09EwE0CqkOc4q9oUmW1yo/edit?usp=sharing"",""ลำพูน!I89"")"),2)</f>
        <v>2</v>
      </c>
      <c r="J164" s="284">
        <f ca="1">IFERROR(__xludf.DUMMYFUNCTION("IMPORTRANGE(""https://docs.google.com/spreadsheets/d/11923uPwbBZFjjGgGUA6NLw09EwE0CqkOc4q9oUmW1yo/edit?usp=sharing"",""ลำพูน!J89"")"),2)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IFERROR(__xludf.DUMMYFUNCTION("IMPORTRANGE(""https://docs.google.com/spreadsheets/d/11923uPwbBZFjjGgGUA6NLw09EwE0CqkOc4q9oUmW1yo/edit?usp=sharing"",""ลำพูน!J94"")"),0)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IFERROR(__xludf.DUMMYFUNCTION("IMPORTRANGE(""https://docs.google.com/spreadsheets/d/11923uPwbBZFjjGgGUA6NLw09EwE0CqkOc4q9oUmW1yo/edit?usp=sharing"",""ลำพูน!J95"")"),1)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IFERROR(__xludf.DUMMYFUNCTION("IMPORTRANGE(""https://docs.google.com/spreadsheets/d/11923uPwbBZFjjGgGUA6NLw09EwE0CqkOc4q9oUmW1yo/edit?usp=sharing"",""ลำพูน!J96"")"),1)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IFERROR(__xludf.DUMMYFUNCTION("IMPORTRANGE(""https://docs.google.com/spreadsheets/d/11923uPwbBZFjjGgGUA6NLw09EwE0CqkOc4q9oUmW1yo/edit?usp=sharing"",""ลำพูน!J97"")"),0)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IFERROR(__xludf.DUMMYFUNCTION("IMPORTRANGE(""https://docs.google.com/spreadsheets/d/11923uPwbBZFjjGgGUA6NLw09EwE0CqkOc4q9oUmW1yo/edit?usp=sharing"",""ลำพูน!I98"")"),2)</f>
        <v>2</v>
      </c>
      <c r="J173" s="188">
        <f ca="1">IFERROR(__xludf.DUMMYFUNCTION("IMPORTRANGE(""https://docs.google.com/spreadsheets/d/11923uPwbBZFjjGgGUA6NLw09EwE0CqkOc4q9oUmW1yo/edit?usp=sharing"",""ลำพูน!J98"")"),2)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IFERROR(__xludf.DUMMYFUNCTION("IMPORTRANGE(""https://docs.google.com/spreadsheets/d/11923uPwbBZFjjGgGUA6NLw09EwE0CqkOc4q9oUmW1yo/edit?usp=sharing"",""ลำพูน!J99"")"),0)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IFERROR(__xludf.DUMMYFUNCTION("IMPORTRANGE(""https://docs.google.com/spreadsheets/d/11923uPwbBZFjjGgGUA6NLw09EwE0CqkOc4q9oUmW1yo/edit?usp=sharing"",""ลำพูน!J100"")"),0)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IFERROR(__xludf.DUMMYFUNCTION("IMPORTRANGE(""https://docs.google.com/spreadsheets/d/11923uPwbBZFjjGgGUA6NLw09EwE0CqkOc4q9oUmW1yo/edit?usp=sharing"",""ลำพูน!I101"")"),0)</f>
        <v>0</v>
      </c>
      <c r="J176" s="284">
        <f ca="1">IFERROR(__xludf.DUMMYFUNCTION("IMPORTRANGE(""https://docs.google.com/spreadsheets/d/11923uPwbBZFjjGgGUA6NLw09EwE0CqkOc4q9oUmW1yo/edit?usp=sharing"",""ลำพูน!J101"")"),0)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IFERROR(__xludf.DUMMYFUNCTION("IMPORTRANGE(""https://docs.google.com/spreadsheets/d/11923uPwbBZFjjGgGUA6NLw09EwE0CqkOc4q9oUmW1yo/edit?usp=sharing"",""ลำพูน!J106"")"),0)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IFERROR(__xludf.DUMMYFUNCTION("IMPORTRANGE(""https://docs.google.com/spreadsheets/d/11923uPwbBZFjjGgGUA6NLw09EwE0CqkOc4q9oUmW1yo/edit?usp=sharing"",""ลำพูน!J107"")"),0)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IFERROR(__xludf.DUMMYFUNCTION("IMPORTRANGE(""https://docs.google.com/spreadsheets/d/11923uPwbBZFjjGgGUA6NLw09EwE0CqkOc4q9oUmW1yo/edit?usp=sharing"",""ลำพูน!J108"")"),0)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IFERROR(__xludf.DUMMYFUNCTION("IMPORTRANGE(""https://docs.google.com/spreadsheets/d/11923uPwbBZFjjGgGUA6NLw09EwE0CqkOc4q9oUmW1yo/edit?usp=sharing"",""ลำพูน!J109"")"),0)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IFERROR(__xludf.DUMMYFUNCTION("IMPORTRANGE(""https://docs.google.com/spreadsheets/d/11923uPwbBZFjjGgGUA6NLw09EwE0CqkOc4q9oUmW1yo/edit?usp=sharing"",""ลำพูน!I110"")"),0)</f>
        <v>0</v>
      </c>
      <c r="J185" s="203">
        <f ca="1">IFERROR(__xludf.DUMMYFUNCTION("IMPORTRANGE(""https://docs.google.com/spreadsheets/d/11923uPwbBZFjjGgGUA6NLw09EwE0CqkOc4q9oUmW1yo/edit?usp=sharing"",""ลำพูน!J110"")"),0)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IFERROR(__xludf.DUMMYFUNCTION("IMPORTRANGE(""https://docs.google.com/spreadsheets/d/11923uPwbBZFjjGgGUA6NLw09EwE0CqkOc4q9oUmW1yo/edit?usp=sharing"",""ลำพูน!I111"")"),0)</f>
        <v>0</v>
      </c>
      <c r="J186" s="203">
        <f ca="1">IFERROR(__xludf.DUMMYFUNCTION("IMPORTRANGE(""https://docs.google.com/spreadsheets/d/11923uPwbBZFjjGgGUA6NLw09EwE0CqkOc4q9oUmW1yo/edit?usp=sharing"",""ลำพูน!J111"")"),0)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IFERROR(__xludf.DUMMYFUNCTION("IMPORTRANGE(""https://docs.google.com/spreadsheets/d/11923uPwbBZFjjGgGUA6NLw09EwE0CqkOc4q9oUmW1yo/edit?usp=sharing"",""ลำพูน!J112"")"),0)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IFERROR(__xludf.DUMMYFUNCTION("IMPORTRANGE(""https://docs.google.com/spreadsheets/d/11923uPwbBZFjjGgGUA6NLw09EwE0CqkOc4q9oUmW1yo/edit?usp=sharing"",""ลำพูน!J113"")"),0)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IFERROR(__xludf.DUMMYFUNCTION("IMPORTRANGE(""https://docs.google.com/spreadsheets/d/11923uPwbBZFjjGgGUA6NLw09EwE0CqkOc4q9oUmW1yo/edit?usp=sharing"",""ลำพูน!I114"")"),100000)</f>
        <v>100000</v>
      </c>
      <c r="J189" s="284">
        <f ca="1">IFERROR(__xludf.DUMMYFUNCTION("IMPORTRANGE(""https://docs.google.com/spreadsheets/d/11923uPwbBZFjjGgGUA6NLw09EwE0CqkOc4q9oUmW1yo/edit?usp=sharing"",""ลำพูน!J114"")"),0)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IFERROR(__xludf.DUMMYFUNCTION("IMPORTRANGE(""https://docs.google.com/spreadsheets/d/11923uPwbBZFjjGgGUA6NLw09EwE0CqkOc4q9oUmW1yo/edit?usp=sharing"",""ลำพูน!J119"")"),1)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IFERROR(__xludf.DUMMYFUNCTION("IMPORTRANGE(""https://docs.google.com/spreadsheets/d/11923uPwbBZFjjGgGUA6NLw09EwE0CqkOc4q9oUmW1yo/edit?usp=sharing"",""ลำพูน!J120"")"),0)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IFERROR(__xludf.DUMMYFUNCTION("IMPORTRANGE(""https://docs.google.com/spreadsheets/d/11923uPwbBZFjjGgGUA6NLw09EwE0CqkOc4q9oUmW1yo/edit?usp=sharing"",""ลำพูน!J121"")"),0)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IFERROR(__xludf.DUMMYFUNCTION("IMPORTRANGE(""https://docs.google.com/spreadsheets/d/11923uPwbBZFjjGgGUA6NLw09EwE0CqkOc4q9oUmW1yo/edit?usp=sharing"",""ลำพูน!J122"")"),0)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IFERROR(__xludf.DUMMYFUNCTION("IMPORTRANGE(""https://docs.google.com/spreadsheets/d/11923uPwbBZFjjGgGUA6NLw09EwE0CqkOc4q9oUmW1yo/edit?usp=sharing"",""ลำพูน!I124"")"),100000)</f>
        <v>100000</v>
      </c>
      <c r="J199" s="188">
        <f ca="1">IFERROR(__xludf.DUMMYFUNCTION("IMPORTRANGE(""https://docs.google.com/spreadsheets/d/11923uPwbBZFjjGgGUA6NLw09EwE0CqkOc4q9oUmW1yo/edit?usp=sharing"",""ลำพูน!J124"")"),0)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IFERROR(__xludf.DUMMYFUNCTION("IMPORTRANGE(""https://docs.google.com/spreadsheets/d/11923uPwbBZFjjGgGUA6NLw09EwE0CqkOc4q9oUmW1yo/edit?usp=sharing"",""ลำพูน!I125"")"),100000)</f>
        <v>100000</v>
      </c>
      <c r="J200" s="188">
        <f ca="1">IFERROR(__xludf.DUMMYFUNCTION("IMPORTRANGE(""https://docs.google.com/spreadsheets/d/11923uPwbBZFjjGgGUA6NLw09EwE0CqkOc4q9oUmW1yo/edit?usp=sharing"",""ลำพูน!J125"")"),0)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IFERROR(__xludf.DUMMYFUNCTION("IMPORTRANGE(""https://docs.google.com/spreadsheets/d/11923uPwbBZFjjGgGUA6NLw09EwE0CqkOc4q9oUmW1yo/edit?usp=sharing"",""ลำพูน!I126"")"),0)</f>
        <v>0</v>
      </c>
      <c r="J201" s="188">
        <f ca="1">IFERROR(__xludf.DUMMYFUNCTION("IMPORTRANGE(""https://docs.google.com/spreadsheets/d/11923uPwbBZFjjGgGUA6NLw09EwE0CqkOc4q9oUmW1yo/edit?usp=sharing"",""ลำพูน!J126"")"),0)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IFERROR(__xludf.DUMMYFUNCTION("IMPORTRANGE(""https://docs.google.com/spreadsheets/d/11923uPwbBZFjjGgGUA6NLw09EwE0CqkOc4q9oUmW1yo/edit?usp=sharing"",""ลำพูน!J127"")"),0)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IFERROR(__xludf.DUMMYFUNCTION("IMPORTRANGE(""https://docs.google.com/spreadsheets/d/11923uPwbBZFjjGgGUA6NLw09EwE0CqkOc4q9oUmW1yo/edit?usp=sharing"",""ลำพูน!J128"")"),0)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IFERROR(__xludf.DUMMYFUNCTION("IMPORTRANGE(""https://docs.google.com/spreadsheets/d/11923uPwbBZFjjGgGUA6NLw09EwE0CqkOc4q9oUmW1yo/edit?usp=sharing"",""ลำพูน!I129"")"),150)</f>
        <v>150</v>
      </c>
      <c r="J204" s="284">
        <f ca="1">IFERROR(__xludf.DUMMYFUNCTION("IMPORTRANGE(""https://docs.google.com/spreadsheets/d/11923uPwbBZFjjGgGUA6NLw09EwE0CqkOc4q9oUmW1yo/edit?usp=sharing"",""ลำพูน!J129"")"),150)</f>
        <v>150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IFERROR(__xludf.DUMMYFUNCTION("IMPORTRANGE(""https://docs.google.com/spreadsheets/d/11923uPwbBZFjjGgGUA6NLw09EwE0CqkOc4q9oUmW1yo/edit?usp=sharing"",""ลำพูน!J134"")"),0)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IFERROR(__xludf.DUMMYFUNCTION("IMPORTRANGE(""https://docs.google.com/spreadsheets/d/11923uPwbBZFjjGgGUA6NLw09EwE0CqkOc4q9oUmW1yo/edit?usp=sharing"",""ลำพูน!J135"")"),1)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IFERROR(__xludf.DUMMYFUNCTION("IMPORTRANGE(""https://docs.google.com/spreadsheets/d/11923uPwbBZFjjGgGUA6NLw09EwE0CqkOc4q9oUmW1yo/edit?usp=sharing"",""ลำพูน!J136"")"),0)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IFERROR(__xludf.DUMMYFUNCTION("IMPORTRANGE(""https://docs.google.com/spreadsheets/d/11923uPwbBZFjjGgGUA6NLw09EwE0CqkOc4q9oUmW1yo/edit?usp=sharing"",""ลำพูน!J137"")"),1)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IFERROR(__xludf.DUMMYFUNCTION("IMPORTRANGE(""https://docs.google.com/spreadsheets/d/11923uPwbBZFjjGgGUA6NLw09EwE0CqkOc4q9oUmW1yo/edit?usp=sharing"",""ลำพูน!I138"")"),150)</f>
        <v>150</v>
      </c>
      <c r="J213" s="203">
        <f ca="1">IFERROR(__xludf.DUMMYFUNCTION("IMPORTRANGE(""https://docs.google.com/spreadsheets/d/11923uPwbBZFjjGgGUA6NLw09EwE0CqkOc4q9oUmW1yo/edit?usp=sharing"",""ลำพูน!J138"")"),150)</f>
        <v>150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IFERROR(__xludf.DUMMYFUNCTION("IMPORTRANGE(""https://docs.google.com/spreadsheets/d/11923uPwbBZFjjGgGUA6NLw09EwE0CqkOc4q9oUmW1yo/edit?usp=sharing"",""ลำพูน!I140"")"),0)</f>
        <v>0</v>
      </c>
      <c r="J215" s="203">
        <f ca="1">IFERROR(__xludf.DUMMYFUNCTION("IMPORTRANGE(""https://docs.google.com/spreadsheets/d/11923uPwbBZFjjGgGUA6NLw09EwE0CqkOc4q9oUmW1yo/edit?usp=sharing"",""ลำพูน!J140"")"),0)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IFERROR(__xludf.DUMMYFUNCTION("IMPORTRANGE(""https://docs.google.com/spreadsheets/d/11923uPwbBZFjjGgGUA6NLw09EwE0CqkOc4q9oUmW1yo/edit?usp=sharing"",""ลำพูน!I141"")"),3)</f>
        <v>3</v>
      </c>
      <c r="J216" s="203">
        <f ca="1">IFERROR(__xludf.DUMMYFUNCTION("IMPORTRANGE(""https://docs.google.com/spreadsheets/d/11923uPwbBZFjjGgGUA6NLw09EwE0CqkOc4q9oUmW1yo/edit?usp=sharing"",""ลำพูน!J141"")"),2)</f>
        <v>2</v>
      </c>
      <c r="K216" s="224">
        <f t="shared" ca="1" si="71"/>
        <v>66.666666666666671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IFERROR(__xludf.DUMMYFUNCTION("IMPORTRANGE(""https://docs.google.com/spreadsheets/d/11923uPwbBZFjjGgGUA6NLw09EwE0CqkOc4q9oUmW1yo/edit?usp=sharing"",""ลำพูน!J142"")"),0)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IFERROR(__xludf.DUMMYFUNCTION("IMPORTRANGE(""https://docs.google.com/spreadsheets/d/11923uPwbBZFjjGgGUA6NLw09EwE0CqkOc4q9oUmW1yo/edit?usp=sharing"",""ลำพูน!J143"")"),0)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IFERROR(__xludf.DUMMYFUNCTION("IMPORTRANGE(""https://docs.google.com/spreadsheets/d/11923uPwbBZFjjGgGUA6NLw09EwE0CqkOc4q9oUmW1yo/edit?usp=sharing"",""ลำพูน!I144"")"),15)</f>
        <v>15</v>
      </c>
      <c r="J219" s="267">
        <f ca="1">IFERROR(__xludf.DUMMYFUNCTION("IMPORTRANGE(""https://docs.google.com/spreadsheets/d/11923uPwbBZFjjGgGUA6NLw09EwE0CqkOc4q9oUmW1yo/edit?usp=sharing"",""ลำพูน!J144"")"),15)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IFERROR(__xludf.DUMMYFUNCTION("IMPORTRANGE(""https://docs.google.com/spreadsheets/d/1Yj_ptqi66GCucihVvJfMjLAmec39IyEx_6qawtMGysU/edit?usp=sharing"",""สบก!BS33"")"),21125)</f>
        <v>21125</v>
      </c>
      <c r="N224" s="168">
        <f ca="1">IFERROR(__xludf.DUMMYFUNCTION("IMPORTRANGE(""https://docs.google.com/spreadsheets/d/1Yj_ptqi66GCucihVvJfMjLAmec39IyEx_6qawtMGysU/edit?usp=sharing"",""สบก!BT33"")"),21125)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IFERROR(__xludf.DUMMYFUNCTION("IMPORTRANGE(""https://docs.google.com/spreadsheets/d/1Yj_ptqi66GCucihVvJfMjLAmec39IyEx_6qawtMGysU/edit?usp=sharing"",""สบก!BO33"")"),0)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IFERROR(__xludf.DUMMYFUNCTION("IMPORTRANGE(""https://docs.google.com/spreadsheets/d/1Yj_ptqi66GCucihVvJfMjLAmec39IyEx_6qawtMGysU/edit?usp=sharing"",""สบก!BP33"")"),21125)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IFERROR(__xludf.DUMMYFUNCTION("IMPORTRANGE(""https://docs.google.com/spreadsheets/d/1Yj_ptqi66GCucihVvJfMjLAmec39IyEx_6qawtMGysU/edit?usp=sharing"",""สบก!BQ33"")"),0)</f>
        <v>0</v>
      </c>
      <c r="M228" s="50"/>
      <c r="N228" s="50">
        <f ca="1">IFERROR(__xludf.DUMMYFUNCTION("IMPORTRANGE(""https://docs.google.com/spreadsheets/d/1Yj_ptqi66GCucihVvJfMjLAmec39IyEx_6qawtMGysU/edit?usp=sharing"",""สบก!BU33"")"),0)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IFERROR(__xludf.DUMMYFUNCTION("IMPORTRANGE(""https://docs.google.com/spreadsheets/d/11923uPwbBZFjjGgGUA6NLw09EwE0CqkOc4q9oUmW1yo/edit?usp=sharing"",""ลำพูน!I149"")"),15)</f>
        <v>15</v>
      </c>
      <c r="J229" s="267">
        <f ca="1">IFERROR(__xludf.DUMMYFUNCTION("IMPORTRANGE(""https://docs.google.com/spreadsheets/d/11923uPwbBZFjjGgGUA6NLw09EwE0CqkOc4q9oUmW1yo/edit?usp=sharing"",""ลำพูน!J149"")"),15)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IFERROR(__xludf.DUMMYFUNCTION("IMPORTRANGE(""https://docs.google.com/spreadsheets/d/11923uPwbBZFjjGgGUA6NLw09EwE0CqkOc4q9oUmW1yo/edit?usp=sharing"",""ลำพูน!J151"")"),0)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IFERROR(__xludf.DUMMYFUNCTION("IMPORTRANGE(""https://docs.google.com/spreadsheets/d/11923uPwbBZFjjGgGUA6NLw09EwE0CqkOc4q9oUmW1yo/edit?usp=sharing"",""ลำพูน!J152"")"),0)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IFERROR(__xludf.DUMMYFUNCTION("IMPORTRANGE(""https://docs.google.com/spreadsheets/d/11923uPwbBZFjjGgGUA6NLw09EwE0CqkOc4q9oUmW1yo/edit?usp=sharing"",""ลำพูน!J153"")"),0)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IFERROR(__xludf.DUMMYFUNCTION("IMPORTRANGE(""https://docs.google.com/spreadsheets/d/11923uPwbBZFjjGgGUA6NLw09EwE0CqkOc4q9oUmW1yo/edit?usp=sharing"",""ลำพูน!J154"")"),0)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IFERROR(__xludf.DUMMYFUNCTION("IMPORTRANGE(""https://docs.google.com/spreadsheets/d/11923uPwbBZFjjGgGUA6NLw09EwE0CqkOc4q9oUmW1yo/edit?usp=sharing"",""ลำพูน!I155"")"),15)</f>
        <v>15</v>
      </c>
      <c r="J235" s="188">
        <f ca="1">IFERROR(__xludf.DUMMYFUNCTION("IMPORTRANGE(""https://docs.google.com/spreadsheets/d/11923uPwbBZFjjGgGUA6NLw09EwE0CqkOc4q9oUmW1yo/edit?usp=sharing"",""ลำพูน!J155"")"),15)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IFERROR(__xludf.DUMMYFUNCTION("IMPORTRANGE(""https://docs.google.com/spreadsheets/d/11923uPwbBZFjjGgGUA6NLw09EwE0CqkOc4q9oUmW1yo/edit?usp=sharing"",""ลำพูน!J156"")"),1)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IFERROR(__xludf.DUMMYFUNCTION("IMPORTRANGE(""https://docs.google.com/spreadsheets/d/11923uPwbBZFjjGgGUA6NLw09EwE0CqkOc4q9oUmW1yo/edit?usp=sharing"",""ลำพูน!J157"")"),1)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IFERROR(__xludf.DUMMYFUNCTION("IMPORTRANGE(""https://docs.google.com/spreadsheets/d/11923uPwbBZFjjGgGUA6NLw09EwE0CqkOc4q9oUmW1yo/edit?usp=sharing"",""ลำพูน!I158"")"),0)</f>
        <v>0</v>
      </c>
      <c r="J238" s="267">
        <f ca="1">IFERROR(__xludf.DUMMYFUNCTION("IMPORTRANGE(""https://docs.google.com/spreadsheets/d/11923uPwbBZFjjGgGUA6NLw09EwE0CqkOc4q9oUmW1yo/edit?usp=sharing"",""ลำพูน!J158"")"),0)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IFERROR(__xludf.DUMMYFUNCTION("IMPORTRANGE(""https://docs.google.com/spreadsheets/d/11923uPwbBZFjjGgGUA6NLw09EwE0CqkOc4q9oUmW1yo/edit?usp=sharing"",""ลำพูน!J159"")"),"")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IFERROR(__xludf.DUMMYFUNCTION("IMPORTRANGE(""https://docs.google.com/spreadsheets/d/11923uPwbBZFjjGgGUA6NLw09EwE0CqkOc4q9oUmW1yo/edit?usp=sharing"",""ลำพูน!J161"")"),0)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IFERROR(__xludf.DUMMYFUNCTION("IMPORTRANGE(""https://docs.google.com/spreadsheets/d/11923uPwbBZFjjGgGUA6NLw09EwE0CqkOc4q9oUmW1yo/edit?usp=sharing"",""ลำพูน!J162"")"),0)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IFERROR(__xludf.DUMMYFUNCTION("IMPORTRANGE(""https://docs.google.com/spreadsheets/d/11923uPwbBZFjjGgGUA6NLw09EwE0CqkOc4q9oUmW1yo/edit?usp=sharing"",""ลำพูน!J163"")"),0)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IFERROR(__xludf.DUMMYFUNCTION("IMPORTRANGE(""https://docs.google.com/spreadsheets/d/11923uPwbBZFjjGgGUA6NLw09EwE0CqkOc4q9oUmW1yo/edit?usp=sharing"",""ลำพูน!I164"")"),0)</f>
        <v>0</v>
      </c>
      <c r="J244" s="187">
        <f ca="1">IFERROR(__xludf.DUMMYFUNCTION("IMPORTRANGE(""https://docs.google.com/spreadsheets/d/11923uPwbBZFjjGgGUA6NLw09EwE0CqkOc4q9oUmW1yo/edit?usp=sharing"",""ลำพูน!J164"")"),0)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IFERROR(__xludf.DUMMYFUNCTION("IMPORTRANGE(""https://docs.google.com/spreadsheets/d/11923uPwbBZFjjGgGUA6NLw09EwE0CqkOc4q9oUmW1yo/edit?usp=sharing"",""ลำพูน!J165"")"),0)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IFERROR(__xludf.DUMMYFUNCTION("IMPORTRANGE(""https://docs.google.com/spreadsheets/d/11923uPwbBZFjjGgGUA6NLw09EwE0CqkOc4q9oUmW1yo/edit?usp=sharing"",""ลำพูน!J166"")"),0)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IFERROR(__xludf.DUMMYFUNCTION("IMPORTRANGE(""https://docs.google.com/spreadsheets/d/11923uPwbBZFjjGgGUA6NLw09EwE0CqkOc4q9oUmW1yo/edit?usp=sharing"",""ลำพูน!I169"")"),0)</f>
        <v>0</v>
      </c>
      <c r="J249" s="316">
        <f ca="1">IFERROR(__xludf.DUMMYFUNCTION("IMPORTRANGE(""https://docs.google.com/spreadsheets/d/11923uPwbBZFjjGgGUA6NLw09EwE0CqkOc4q9oUmW1yo/edit?usp=sharing"",""ลำพูน!J169"")"),0)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IFERROR(__xludf.DUMMYFUNCTION("IMPORTRANGE(""https://docs.google.com/spreadsheets/d/1Yj_ptqi66GCucihVvJfMjLAmec39IyEx_6qawtMGysU/edit?usp=sharing"",""สบก!CB33"")"),0)</f>
        <v>0</v>
      </c>
      <c r="N254" s="168">
        <f ca="1">IFERROR(__xludf.DUMMYFUNCTION("IMPORTRANGE(""https://docs.google.com/spreadsheets/d/1Yj_ptqi66GCucihVvJfMjLAmec39IyEx_6qawtMGysU/edit?usp=sharing"",""สบก!CC33"")"),0)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IFERROR(__xludf.DUMMYFUNCTION("IMPORTRANGE(""https://docs.google.com/spreadsheets/d/1Yj_ptqi66GCucihVvJfMjLAmec39IyEx_6qawtMGysU/edit?usp=sharing"",""สบก!BX33"")"),0)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IFERROR(__xludf.DUMMYFUNCTION("IMPORTRANGE(""https://docs.google.com/spreadsheets/d/1Yj_ptqi66GCucihVvJfMjLAmec39IyEx_6qawtMGysU/edit?usp=sharing"",""สบก!BY33"")"),0)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IFERROR(__xludf.DUMMYFUNCTION("IMPORTRANGE(""https://docs.google.com/spreadsheets/d/1Yj_ptqi66GCucihVvJfMjLAmec39IyEx_6qawtMGysU/edit?usp=sharing"",""สบก!BZ33"")"),0)</f>
        <v>0</v>
      </c>
      <c r="M258" s="50"/>
      <c r="N258" s="50">
        <f ca="1">IFERROR(__xludf.DUMMYFUNCTION("IMPORTRANGE(""https://docs.google.com/spreadsheets/d/1Yj_ptqi66GCucihVvJfMjLAmec39IyEx_6qawtMGysU/edit?usp=sharing"",""สบก!CD33"")"),0)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IFERROR(__xludf.DUMMYFUNCTION("IMPORTRANGE(""https://docs.google.com/spreadsheets/d/11923uPwbBZFjjGgGUA6NLw09EwE0CqkOc4q9oUmW1yo/edit?usp=sharing"",""ลำพูน!J175"")"),0)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IFERROR(__xludf.DUMMYFUNCTION("IMPORTRANGE(""https://docs.google.com/spreadsheets/d/11923uPwbBZFjjGgGUA6NLw09EwE0CqkOc4q9oUmW1yo/edit?usp=sharing"",""ลำพูน!J176"")"),0)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IFERROR(__xludf.DUMMYFUNCTION("IMPORTRANGE(""https://docs.google.com/spreadsheets/d/11923uPwbBZFjjGgGUA6NLw09EwE0CqkOc4q9oUmW1yo/edit?usp=sharing"",""ลำพูน!J177"")"),0)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IFERROR(__xludf.DUMMYFUNCTION("IMPORTRANGE(""https://docs.google.com/spreadsheets/d/11923uPwbBZFjjGgGUA6NLw09EwE0CqkOc4q9oUmW1yo/edit?usp=sharing"",""ลำพูน!J178"")"),0)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IFERROR(__xludf.DUMMYFUNCTION("IMPORTRANGE(""https://docs.google.com/spreadsheets/d/11923uPwbBZFjjGgGUA6NLw09EwE0CqkOc4q9oUmW1yo/edit?usp=sharing"",""ลำพูน!I179"")"),0)</f>
        <v>0</v>
      </c>
      <c r="J264" s="188">
        <f ca="1">IFERROR(__xludf.DUMMYFUNCTION("IMPORTRANGE(""https://docs.google.com/spreadsheets/d/11923uPwbBZFjjGgGUA6NLw09EwE0CqkOc4q9oUmW1yo/edit?usp=sharing"",""ลำพูน!J179"")"),0)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IFERROR(__xludf.DUMMYFUNCTION("IMPORTRANGE(""https://docs.google.com/spreadsheets/d/11923uPwbBZFjjGgGUA6NLw09EwE0CqkOc4q9oUmW1yo/edit?usp=sharing"",""ลำพูน!I180"")"),0)</f>
        <v>0</v>
      </c>
      <c r="J265" s="188">
        <f ca="1">IFERROR(__xludf.DUMMYFUNCTION("IMPORTRANGE(""https://docs.google.com/spreadsheets/d/11923uPwbBZFjjGgGUA6NLw09EwE0CqkOc4q9oUmW1yo/edit?usp=sharing"",""ลำพูน!J180"")"),0)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IFERROR(__xludf.DUMMYFUNCTION("IMPORTRANGE(""https://docs.google.com/spreadsheets/d/11923uPwbBZFjjGgGUA6NLw09EwE0CqkOc4q9oUmW1yo/edit?usp=sharing"",""ลำพูน!I181"")"),0)</f>
        <v>0</v>
      </c>
      <c r="J266" s="188">
        <f ca="1">IFERROR(__xludf.DUMMYFUNCTION("IMPORTRANGE(""https://docs.google.com/spreadsheets/d/11923uPwbBZFjjGgGUA6NLw09EwE0CqkOc4q9oUmW1yo/edit?usp=sharing"",""ลำพูน!J181"")"),0)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IFERROR(__xludf.DUMMYFUNCTION("IMPORTRANGE(""https://docs.google.com/spreadsheets/d/11923uPwbBZFjjGgGUA6NLw09EwE0CqkOc4q9oUmW1yo/edit?usp=sharing"",""ลำพูน!I182"")"),0)</f>
        <v>0</v>
      </c>
      <c r="J267" s="188">
        <f ca="1">IFERROR(__xludf.DUMMYFUNCTION("IMPORTRANGE(""https://docs.google.com/spreadsheets/d/11923uPwbBZFjjGgGUA6NLw09EwE0CqkOc4q9oUmW1yo/edit?usp=sharing"",""ลำพูน!J182"")"),0)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IFERROR(__xludf.DUMMYFUNCTION("IMPORTRANGE(""https://docs.google.com/spreadsheets/d/11923uPwbBZFjjGgGUA6NLw09EwE0CqkOc4q9oUmW1yo/edit?usp=sharing"",""ลำพูน!J183"")"),0)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IFERROR(__xludf.DUMMYFUNCTION("IMPORTRANGE(""https://docs.google.com/spreadsheets/d/11923uPwbBZFjjGgGUA6NLw09EwE0CqkOc4q9oUmW1yo/edit?usp=sharing"",""ลำพูน!J184"")"),0)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IFERROR(__xludf.DUMMYFUNCTION("IMPORTRANGE(""https://docs.google.com/spreadsheets/d/11923uPwbBZFjjGgGUA6NLw09EwE0CqkOc4q9oUmW1yo/edit?usp=sharing"",""ลำพูน!I185"")"),15)</f>
        <v>15</v>
      </c>
      <c r="J270" s="316">
        <f ca="1">IFERROR(__xludf.DUMMYFUNCTION("IMPORTRANGE(""https://docs.google.com/spreadsheets/d/11923uPwbBZFjjGgGUA6NLw09EwE0CqkOc4q9oUmW1yo/edit?usp=sharing"",""ลำพูน!J185"")"),15)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49410</v>
      </c>
      <c r="O271" s="151">
        <f t="shared" ref="O271:O273" ca="1" si="84">IF(L271&gt;0,N271*100/L271,0)</f>
        <v>89.510869565217391</v>
      </c>
      <c r="P271" s="151">
        <f t="shared" ref="P271:P273" ca="1" si="85">IF(M271&gt;0,N271*100/M271,0)</f>
        <v>89.510869565217391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49410</v>
      </c>
      <c r="O273" s="156">
        <f t="shared" ca="1" si="84"/>
        <v>89.510869565217391</v>
      </c>
      <c r="P273" s="156">
        <f t="shared" ca="1" si="85"/>
        <v>89.510869565217391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IFERROR(__xludf.DUMMYFUNCTION("IMPORTRANGE(""https://docs.google.com/spreadsheets/d/1Yj_ptqi66GCucihVvJfMjLAmec39IyEx_6qawtMGysU/edit?usp=sharing"",""สบก!CK33"")"),55200)</f>
        <v>55200</v>
      </c>
      <c r="N275" s="168">
        <f ca="1">IFERROR(__xludf.DUMMYFUNCTION("IMPORTRANGE(""https://docs.google.com/spreadsheets/d/1Yj_ptqi66GCucihVvJfMjLAmec39IyEx_6qawtMGysU/edit?usp=sharing"",""สบก!CL33"")"),49410)</f>
        <v>49410</v>
      </c>
      <c r="O275" s="168">
        <f ca="1">IF(L275&gt;0,N275*100/L275,0)</f>
        <v>89.510869565217391</v>
      </c>
      <c r="P275" s="168">
        <f ca="1">IF(M275&gt;0,N275*100/M275,0)</f>
        <v>89.510869565217391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IFERROR(__xludf.DUMMYFUNCTION("IMPORTRANGE(""https://docs.google.com/spreadsheets/d/1Yj_ptqi66GCucihVvJfMjLAmec39IyEx_6qawtMGysU/edit?usp=sharing"",""สบก!CG33"")"),0)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IFERROR(__xludf.DUMMYFUNCTION("IMPORTRANGE(""https://docs.google.com/spreadsheets/d/1Yj_ptqi66GCucihVvJfMjLAmec39IyEx_6qawtMGysU/edit?usp=sharing"",""สบก!CH33"")"),55200)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IFERROR(__xludf.DUMMYFUNCTION("IMPORTRANGE(""https://docs.google.com/spreadsheets/d/1Yj_ptqi66GCucihVvJfMjLAmec39IyEx_6qawtMGysU/edit?usp=sharing"",""สบก!CI33"")"),0)</f>
        <v>0</v>
      </c>
      <c r="M279" s="50"/>
      <c r="N279" s="50">
        <f ca="1">IFERROR(__xludf.DUMMYFUNCTION("IMPORTRANGE(""https://docs.google.com/spreadsheets/d/1Yj_ptqi66GCucihVvJfMjLAmec39IyEx_6qawtMGysU/edit?usp=sharing"",""สบก!CM33"")"),0)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IFERROR(__xludf.DUMMYFUNCTION("IMPORTRANGE(""https://docs.google.com/spreadsheets/d/11923uPwbBZFjjGgGUA6NLw09EwE0CqkOc4q9oUmW1yo/edit?usp=sharing"",""ลำพูน!J191"")"),0)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IFERROR(__xludf.DUMMYFUNCTION("IMPORTRANGE(""https://docs.google.com/spreadsheets/d/11923uPwbBZFjjGgGUA6NLw09EwE0CqkOc4q9oUmW1yo/edit?usp=sharing"",""ลำพูน!J192"")"),1)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IFERROR(__xludf.DUMMYFUNCTION("IMPORTRANGE(""https://docs.google.com/spreadsheets/d/11923uPwbBZFjjGgGUA6NLw09EwE0CqkOc4q9oUmW1yo/edit?usp=sharing"",""ลำพูน!J193"")"),1)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IFERROR(__xludf.DUMMYFUNCTION("IMPORTRANGE(""https://docs.google.com/spreadsheets/d/11923uPwbBZFjjGgGUA6NLw09EwE0CqkOc4q9oUmW1yo/edit?usp=sharing"",""ลำพูน!J194"")"),1)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IFERROR(__xludf.DUMMYFUNCTION("IMPORTRANGE(""https://docs.google.com/spreadsheets/d/11923uPwbBZFjjGgGUA6NLw09EwE0CqkOc4q9oUmW1yo/edit?usp=sharing"",""ลำพูน!I195"")"),15)</f>
        <v>15</v>
      </c>
      <c r="J285" s="188">
        <f ca="1">IFERROR(__xludf.DUMMYFUNCTION("IMPORTRANGE(""https://docs.google.com/spreadsheets/d/11923uPwbBZFjjGgGUA6NLw09EwE0CqkOc4q9oUmW1yo/edit?usp=sharing"",""ลำพูน!J195"")"),15)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IFERROR(__xludf.DUMMYFUNCTION("IMPORTRANGE(""https://docs.google.com/spreadsheets/d/11923uPwbBZFjjGgGUA6NLw09EwE0CqkOc4q9oUmW1yo/edit?usp=sharing"",""ลำพูน!J196"")"),0)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IFERROR(__xludf.DUMMYFUNCTION("IMPORTRANGE(""https://docs.google.com/spreadsheets/d/11923uPwbBZFjjGgGUA6NLw09EwE0CqkOc4q9oUmW1yo/edit?usp=sharing"",""ลำพูน!J197"")"),0)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IFERROR(__xludf.DUMMYFUNCTION("IMPORTRANGE(""https://docs.google.com/spreadsheets/d/11923uPwbBZFjjGgGUA6NLw09EwE0CqkOc4q9oUmW1yo/edit?usp=sharing"",""ลำพูน!I199"")"),0)</f>
        <v>0</v>
      </c>
      <c r="J289" s="316">
        <f ca="1">IFERROR(__xludf.DUMMYFUNCTION("IMPORTRANGE(""https://docs.google.com/spreadsheets/d/11923uPwbBZFjjGgGUA6NLw09EwE0CqkOc4q9oUmW1yo/edit?usp=sharing"",""ลำพูน!J199"")"),0)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IFERROR(__xludf.DUMMYFUNCTION("IMPORTRANGE(""https://docs.google.com/spreadsheets/d/1Yj_ptqi66GCucihVvJfMjLAmec39IyEx_6qawtMGysU/edit?usp=sharing"",""สบก!CT33"")"),0)</f>
        <v>0</v>
      </c>
      <c r="N294" s="168">
        <f ca="1">IFERROR(__xludf.DUMMYFUNCTION("IMPORTRANGE(""https://docs.google.com/spreadsheets/d/1Yj_ptqi66GCucihVvJfMjLAmec39IyEx_6qawtMGysU/edit?usp=sharing"",""สบก!CU33"")"),0)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IFERROR(__xludf.DUMMYFUNCTION("IMPORTRANGE(""https://docs.google.com/spreadsheets/d/1Yj_ptqi66GCucihVvJfMjLAmec39IyEx_6qawtMGysU/edit?usp=sharing"",""สบก!CP33"")"),0)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IFERROR(__xludf.DUMMYFUNCTION("IMPORTRANGE(""https://docs.google.com/spreadsheets/d/1Yj_ptqi66GCucihVvJfMjLAmec39IyEx_6qawtMGysU/edit?usp=sharing"",""สบก!CQ33"")"),0)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IFERROR(__xludf.DUMMYFUNCTION("IMPORTRANGE(""https://docs.google.com/spreadsheets/d/1Yj_ptqi66GCucihVvJfMjLAmec39IyEx_6qawtMGysU/edit?usp=sharing"",""สบก!CR33"")"),0)</f>
        <v>0</v>
      </c>
      <c r="M298" s="50"/>
      <c r="N298" s="50">
        <f ca="1">IFERROR(__xludf.DUMMYFUNCTION("IMPORTRANGE(""https://docs.google.com/spreadsheets/d/1Yj_ptqi66GCucihVvJfMjLAmec39IyEx_6qawtMGysU/edit?usp=sharing"",""สบก!CV33"")"),0)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IFERROR(__xludf.DUMMYFUNCTION("IMPORTRANGE(""https://docs.google.com/spreadsheets/d/11923uPwbBZFjjGgGUA6NLw09EwE0CqkOc4q9oUmW1yo/edit?usp=sharing"",""ลำพูน!J205"")"),0)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IFERROR(__xludf.DUMMYFUNCTION("IMPORTRANGE(""https://docs.google.com/spreadsheets/d/11923uPwbBZFjjGgGUA6NLw09EwE0CqkOc4q9oUmW1yo/edit?usp=sharing"",""ลำพูน!J206"")"),0)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IFERROR(__xludf.DUMMYFUNCTION("IMPORTRANGE(""https://docs.google.com/spreadsheets/d/11923uPwbBZFjjGgGUA6NLw09EwE0CqkOc4q9oUmW1yo/edit?usp=sharing"",""ลำพูน!J207"")"),0)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IFERROR(__xludf.DUMMYFUNCTION("IMPORTRANGE(""https://docs.google.com/spreadsheets/d/11923uPwbBZFjjGgGUA6NLw09EwE0CqkOc4q9oUmW1yo/edit?usp=sharing"",""ลำพูน!J208"")"),0)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IFERROR(__xludf.DUMMYFUNCTION("IMPORTRANGE(""https://docs.google.com/spreadsheets/d/11923uPwbBZFjjGgGUA6NLw09EwE0CqkOc4q9oUmW1yo/edit?usp=sharing"",""ลำพูน!I209"")"),0)</f>
        <v>0</v>
      </c>
      <c r="J304" s="203">
        <f ca="1">IFERROR(__xludf.DUMMYFUNCTION("IMPORTRANGE(""https://docs.google.com/spreadsheets/d/11923uPwbBZFjjGgGUA6NLw09EwE0CqkOc4q9oUmW1yo/edit?usp=sharing"",""ลำพูน!J209"")"),0)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IFERROR(__xludf.DUMMYFUNCTION("IMPORTRANGE(""https://docs.google.com/spreadsheets/d/11923uPwbBZFjjGgGUA6NLw09EwE0CqkOc4q9oUmW1yo/edit?usp=sharing"",""ลำพูน!I211"")"),0)</f>
        <v>0</v>
      </c>
      <c r="J306" s="203">
        <f ca="1">IFERROR(__xludf.DUMMYFUNCTION("IMPORTRANGE(""https://docs.google.com/spreadsheets/d/11923uPwbBZFjjGgGUA6NLw09EwE0CqkOc4q9oUmW1yo/edit?usp=sharing"",""ลำพูน!J211"")"),0)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IFERROR(__xludf.DUMMYFUNCTION("IMPORTRANGE(""https://docs.google.com/spreadsheets/d/11923uPwbBZFjjGgGUA6NLw09EwE0CqkOc4q9oUmW1yo/edit?usp=sharing"",""ลำพูน!J212"")"),0)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IFERROR(__xludf.DUMMYFUNCTION("IMPORTRANGE(""https://docs.google.com/spreadsheets/d/11923uPwbBZFjjGgGUA6NLw09EwE0CqkOc4q9oUmW1yo/edit?usp=sharing"",""ลำพูน!J213"")"),0)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IFERROR(__xludf.DUMMYFUNCTION("IMPORTRANGE(""https://docs.google.com/spreadsheets/d/11923uPwbBZFjjGgGUA6NLw09EwE0CqkOc4q9oUmW1yo/edit?usp=sharing"",""ลำพูน!I214"")"),0)</f>
        <v>0</v>
      </c>
      <c r="J309" s="333">
        <f ca="1">IFERROR(__xludf.DUMMYFUNCTION("IMPORTRANGE(""https://docs.google.com/spreadsheets/d/11923uPwbBZFjjGgGUA6NLw09EwE0CqkOc4q9oUmW1yo/edit?usp=sharing"",""ลำพูน!J214"")"),0)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IFERROR(__xludf.DUMMYFUNCTION("IMPORTRANGE(""https://docs.google.com/spreadsheets/d/1Yj_ptqi66GCucihVvJfMjLAmec39IyEx_6qawtMGysU/edit?usp=sharing"",""สบก!DC33"")"),0)</f>
        <v>0</v>
      </c>
      <c r="N314" s="168">
        <f ca="1">IFERROR(__xludf.DUMMYFUNCTION("IMPORTRANGE(""https://docs.google.com/spreadsheets/d/1Yj_ptqi66GCucihVvJfMjLAmec39IyEx_6qawtMGysU/edit?usp=sharing"",""สบก!DD33"")"),0)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IFERROR(__xludf.DUMMYFUNCTION("IMPORTRANGE(""https://docs.google.com/spreadsheets/d/1Yj_ptqi66GCucihVvJfMjLAmec39IyEx_6qawtMGysU/edit?usp=sharing"",""สบก!CY33"")"),0)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IFERROR(__xludf.DUMMYFUNCTION("IMPORTRANGE(""https://docs.google.com/spreadsheets/d/1Yj_ptqi66GCucihVvJfMjLAmec39IyEx_6qawtMGysU/edit?usp=sharing"",""สบก!CZ33"")"),0)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IFERROR(__xludf.DUMMYFUNCTION("IMPORTRANGE(""https://docs.google.com/spreadsheets/d/1Yj_ptqi66GCucihVvJfMjLAmec39IyEx_6qawtMGysU/edit?usp=sharing"",""สบก!DA33"")"),0)</f>
        <v>0</v>
      </c>
      <c r="M318" s="50"/>
      <c r="N318" s="50">
        <f ca="1">IFERROR(__xludf.DUMMYFUNCTION("IMPORTRANGE(""https://docs.google.com/spreadsheets/d/1Yj_ptqi66GCucihVvJfMjLAmec39IyEx_6qawtMGysU/edit?usp=sharing"",""สบก!DE33"")"),0)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IFERROR(__xludf.DUMMYFUNCTION("IMPORTRANGE(""https://docs.google.com/spreadsheets/d/11923uPwbBZFjjGgGUA6NLw09EwE0CqkOc4q9oUmW1yo/edit?usp=sharing"",""ลำพูน!J220"")"),0)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IFERROR(__xludf.DUMMYFUNCTION("IMPORTRANGE(""https://docs.google.com/spreadsheets/d/11923uPwbBZFjjGgGUA6NLw09EwE0CqkOc4q9oUmW1yo/edit?usp=sharing"",""ลำพูน!J221"")"),0)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IFERROR(__xludf.DUMMYFUNCTION("IMPORTRANGE(""https://docs.google.com/spreadsheets/d/11923uPwbBZFjjGgGUA6NLw09EwE0CqkOc4q9oUmW1yo/edit?usp=sharing"",""ลำพูน!J222"")"),0)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IFERROR(__xludf.DUMMYFUNCTION("IMPORTRANGE(""https://docs.google.com/spreadsheets/d/11923uPwbBZFjjGgGUA6NLw09EwE0CqkOc4q9oUmW1yo/edit?usp=sharing"",""ลำพูน!J223"")"),0)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IFERROR(__xludf.DUMMYFUNCTION("IMPORTRANGE(""https://docs.google.com/spreadsheets/d/11923uPwbBZFjjGgGUA6NLw09EwE0CqkOc4q9oUmW1yo/edit?usp=sharing"",""ลำพูน!I224"")"),0)</f>
        <v>0</v>
      </c>
      <c r="J324" s="203">
        <f ca="1">IFERROR(__xludf.DUMMYFUNCTION("IMPORTRANGE(""https://docs.google.com/spreadsheets/d/11923uPwbBZFjjGgGUA6NLw09EwE0CqkOc4q9oUmW1yo/edit?usp=sharing"",""ลำพูน!J224"")"),0)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IFERROR(__xludf.DUMMYFUNCTION("IMPORTRANGE(""https://docs.google.com/spreadsheets/d/11923uPwbBZFjjGgGUA6NLw09EwE0CqkOc4q9oUmW1yo/edit?usp=sharing"",""ลำพูน!J225"")"),0)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IFERROR(__xludf.DUMMYFUNCTION("IMPORTRANGE(""https://docs.google.com/spreadsheets/d/11923uPwbBZFjjGgGUA6NLw09EwE0CqkOc4q9oUmW1yo/edit?usp=sharing"",""ลำพูน!J226"")"),0)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IFERROR(__xludf.DUMMYFUNCTION("IMPORTRANGE(""https://docs.google.com/spreadsheets/d/11923uPwbBZFjjGgGUA6NLw09EwE0CqkOc4q9oUmW1yo/edit?usp=sharing"",""ลำพูน!I228"")"),342)</f>
        <v>342</v>
      </c>
      <c r="J328" s="339">
        <f ca="1">IFERROR(__xludf.DUMMYFUNCTION("IMPORTRANGE(""https://docs.google.com/spreadsheets/d/11923uPwbBZFjjGgGUA6NLw09EwE0CqkOc4q9oUmW1yo/edit?usp=sharing"",""ลำพูน!J228"")"),140)</f>
        <v>140</v>
      </c>
      <c r="K328" s="317">
        <f ca="1">IF(I328&gt;0,J328*100/I328,0)</f>
        <v>40.935672514619881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745780</v>
      </c>
      <c r="M329" s="152">
        <f t="shared" ca="1" si="98"/>
        <v>773820</v>
      </c>
      <c r="N329" s="152">
        <f t="shared" ca="1" si="98"/>
        <v>532241</v>
      </c>
      <c r="O329" s="151">
        <f t="shared" ref="O329:O331" ca="1" si="99">IF(L329&gt;0,N329*100/L329,0)</f>
        <v>71.367025128053854</v>
      </c>
      <c r="P329" s="151">
        <f t="shared" ref="P329:P331" ca="1" si="100">IF(M329&gt;0,N329*100/M329,0)</f>
        <v>68.780982657465557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745780</v>
      </c>
      <c r="M331" s="88">
        <f t="shared" ca="1" si="102"/>
        <v>773820</v>
      </c>
      <c r="N331" s="88">
        <f t="shared" ca="1" si="102"/>
        <v>532241</v>
      </c>
      <c r="O331" s="156">
        <f t="shared" ca="1" si="99"/>
        <v>71.367025128053854</v>
      </c>
      <c r="P331" s="156">
        <f t="shared" ca="1" si="100"/>
        <v>68.780982657465557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734380</v>
      </c>
      <c r="M333" s="167">
        <f ca="1">IFERROR(__xludf.DUMMYFUNCTION("IMPORTRANGE(""https://docs.google.com/spreadsheets/d/1Yj_ptqi66GCucihVvJfMjLAmec39IyEx_6qawtMGysU/edit?usp=sharing"",""สบก!DL33"")"),762420)</f>
        <v>762420</v>
      </c>
      <c r="N333" s="168">
        <f ca="1">IFERROR(__xludf.DUMMYFUNCTION("IMPORTRANGE(""https://docs.google.com/spreadsheets/d/1Yj_ptqi66GCucihVvJfMjLAmec39IyEx_6qawtMGysU/edit?usp=sharing"",""สบก!DM33"")"),520841)</f>
        <v>520841</v>
      </c>
      <c r="O333" s="168">
        <f ca="1">IF(L333&gt;0,N333*100/L333,0)</f>
        <v>70.922546910318914</v>
      </c>
      <c r="P333" s="168">
        <f ca="1">IF(M333&gt;0,N333*100/M333,0)</f>
        <v>68.314183783216606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IFERROR(__xludf.DUMMYFUNCTION("IMPORTRANGE(""https://docs.google.com/spreadsheets/d/1Yj_ptqi66GCucihVvJfMjLAmec39IyEx_6qawtMGysU/edit?usp=sharing"",""สบก!DH33"")"),417600)</f>
        <v>417600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IFERROR(__xludf.DUMMYFUNCTION("IMPORTRANGE(""https://docs.google.com/spreadsheets/d/1Yj_ptqi66GCucihVvJfMjLAmec39IyEx_6qawtMGysU/edit?usp=sharing"",""สบก!DI33"")"),316780)</f>
        <v>316780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IFERROR(__xludf.DUMMYFUNCTION("IMPORTRANGE(""https://docs.google.com/spreadsheets/d/1Yj_ptqi66GCucihVvJfMjLAmec39IyEx_6qawtMGysU/edit?usp=sharing"",""สบก!DJ33"")"),11400)</f>
        <v>11400</v>
      </c>
      <c r="M337" s="50">
        <f ca="1">L337</f>
        <v>11400</v>
      </c>
      <c r="N337" s="50">
        <f ca="1">IFERROR(__xludf.DUMMYFUNCTION("IMPORTRANGE(""https://docs.google.com/spreadsheets/d/1Yj_ptqi66GCucihVvJfMjLAmec39IyEx_6qawtMGysU/edit?usp=sharing"",""สบก!DN33"")"),11400)</f>
        <v>11400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IFERROR(__xludf.DUMMYFUNCTION("IMPORTRANGE(""https://docs.google.com/spreadsheets/d/11923uPwbBZFjjGgGUA6NLw09EwE0CqkOc4q9oUmW1yo/edit?usp=sharing"",""ลำพูน!I234"")"),0)</f>
        <v>0</v>
      </c>
      <c r="J339" s="187">
        <f ca="1">IFERROR(__xludf.DUMMYFUNCTION("IMPORTRANGE(""https://docs.google.com/spreadsheets/d/11923uPwbBZFjjGgGUA6NLw09EwE0CqkOc4q9oUmW1yo/edit?usp=sharing"",""ลำพูน!J234"")"),119)</f>
        <v>119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IFERROR(__xludf.DUMMYFUNCTION("IMPORTRANGE(""https://docs.google.com/spreadsheets/d/11923uPwbBZFjjGgGUA6NLw09EwE0CqkOc4q9oUmW1yo/edit?usp=sharing"",""ลำพูน!I235"")"),700)</f>
        <v>700</v>
      </c>
      <c r="J340" s="187">
        <f ca="1">IFERROR(__xludf.DUMMYFUNCTION("IMPORTRANGE(""https://docs.google.com/spreadsheets/d/11923uPwbBZFjjGgGUA6NLw09EwE0CqkOc4q9oUmW1yo/edit?usp=sharing"",""ลำพูน!J235"")"),914.22)</f>
        <v>914.22</v>
      </c>
      <c r="K340" s="342">
        <f t="shared" ca="1" si="103"/>
        <v>130.60285714285715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IFERROR(__xludf.DUMMYFUNCTION("IMPORTRANGE(""https://docs.google.com/spreadsheets/d/11923uPwbBZFjjGgGUA6NLw09EwE0CqkOc4q9oUmW1yo/edit?usp=sharing"",""ลำพูน!I236"")"),342)</f>
        <v>342</v>
      </c>
      <c r="J341" s="187">
        <f ca="1">IFERROR(__xludf.DUMMYFUNCTION("IMPORTRANGE(""https://docs.google.com/spreadsheets/d/11923uPwbBZFjjGgGUA6NLw09EwE0CqkOc4q9oUmW1yo/edit?usp=sharing"",""ลำพูน!J236"")"),191)</f>
        <v>191</v>
      </c>
      <c r="K341" s="342">
        <f t="shared" ca="1" si="103"/>
        <v>55.847953216374272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IFERROR(__xludf.DUMMYFUNCTION("IMPORTRANGE(""https://docs.google.com/spreadsheets/d/11923uPwbBZFjjGgGUA6NLw09EwE0CqkOc4q9oUmW1yo/edit?usp=sharing"",""ลำพูน!I237"")"),0)</f>
        <v>0</v>
      </c>
      <c r="J342" s="187">
        <f ca="1">IFERROR(__xludf.DUMMYFUNCTION("IMPORTRANGE(""https://docs.google.com/spreadsheets/d/11923uPwbBZFjjGgGUA6NLw09EwE0CqkOc4q9oUmW1yo/edit?usp=sharing"",""ลำพูน!J237"")"),1162.23)</f>
        <v>1162.23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IFERROR(__xludf.DUMMYFUNCTION("IMPORTRANGE(""https://docs.google.com/spreadsheets/d/11923uPwbBZFjjGgGUA6NLw09EwE0CqkOc4q9oUmW1yo/edit?usp=sharing"",""ลำพูน!I238"")"),342)</f>
        <v>342</v>
      </c>
      <c r="J343" s="187">
        <f ca="1">IFERROR(__xludf.DUMMYFUNCTION("IMPORTRANGE(""https://docs.google.com/spreadsheets/d/11923uPwbBZFjjGgGUA6NLw09EwE0CqkOc4q9oUmW1yo/edit?usp=sharing"",""ลำพูน!J238"")"),0)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IFERROR(__xludf.DUMMYFUNCTION("IMPORTRANGE(""https://docs.google.com/spreadsheets/d/11923uPwbBZFjjGgGUA6NLw09EwE0CqkOc4q9oUmW1yo/edit?usp=sharing"",""ลำพูน!I239"")"),0)</f>
        <v>0</v>
      </c>
      <c r="J344" s="187">
        <f ca="1">IFERROR(__xludf.DUMMYFUNCTION("IMPORTRANGE(""https://docs.google.com/spreadsheets/d/11923uPwbBZFjjGgGUA6NLw09EwE0CqkOc4q9oUmW1yo/edit?usp=sharing"",""ลำพูน!J239"")"),0)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IFERROR(__xludf.DUMMYFUNCTION("IMPORTRANGE(""https://docs.google.com/spreadsheets/d/11923uPwbBZFjjGgGUA6NLw09EwE0CqkOc4q9oUmW1yo/edit?usp=sharing"",""ลำพูน!I240"")"),342)</f>
        <v>342</v>
      </c>
      <c r="J345" s="187">
        <f ca="1">IFERROR(__xludf.DUMMYFUNCTION("IMPORTRANGE(""https://docs.google.com/spreadsheets/d/11923uPwbBZFjjGgGUA6NLw09EwE0CqkOc4q9oUmW1yo/edit?usp=sharing"",""ลำพูน!J240"")"),140)</f>
        <v>140</v>
      </c>
      <c r="K345" s="342">
        <f t="shared" ca="1" si="103"/>
        <v>40.935672514619881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IFERROR(__xludf.DUMMYFUNCTION("IMPORTRANGE(""https://docs.google.com/spreadsheets/d/11923uPwbBZFjjGgGUA6NLw09EwE0CqkOc4q9oUmW1yo/edit?usp=sharing"",""ลำพูน!I241"")"),0)</f>
        <v>0</v>
      </c>
      <c r="J346" s="187">
        <f ca="1">IFERROR(__xludf.DUMMYFUNCTION("IMPORTRANGE(""https://docs.google.com/spreadsheets/d/11923uPwbBZFjjGgGUA6NLw09EwE0CqkOc4q9oUmW1yo/edit?usp=sharing"",""ลำพูน!J241"")"),849.209999999999)</f>
        <v>849.20999999999901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IFERROR(__xludf.DUMMYFUNCTION("IMPORTRANGE(""https://docs.google.com/spreadsheets/d/11923uPwbBZFjjGgGUA6NLw09EwE0CqkOc4q9oUmW1yo/edit?usp=sharing"",""ลำพูน!L242"")"),2412210)</f>
        <v>2412210</v>
      </c>
      <c r="M347" s="357"/>
      <c r="N347" s="357">
        <f ca="1">IFERROR(__xludf.DUMMYFUNCTION("IMPORTRANGE(""https://docs.google.com/spreadsheets/d/11923uPwbBZFjjGgGUA6NLw09EwE0CqkOc4q9oUmW1yo/edit?usp=sharing"",""ลำพูน!M242"")"),1429629)</f>
        <v>1429629</v>
      </c>
      <c r="O347" s="357">
        <f ca="1">+IF(L347&gt;0,N347*100/L347,0)</f>
        <v>59.266357406693444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IFERROR(__xludf.DUMMYFUNCTION("IMPORTRANGE(""https://docs.google.com/spreadsheets/d/11923uPwbBZFjjGgGUA6NLw09EwE0CqkOc4q9oUmW1yo/edit?usp=sharing"",""ลำพูน!I244"")"),200)</f>
        <v>200</v>
      </c>
      <c r="J349" s="370">
        <f ca="1">IFERROR(__xludf.DUMMYFUNCTION("IMPORTRANGE(""https://docs.google.com/spreadsheets/d/11923uPwbBZFjjGgGUA6NLw09EwE0CqkOc4q9oUmW1yo/edit?usp=sharing"",""ลำพูน!J244"")"),200)</f>
        <v>200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IFERROR(__xludf.DUMMYFUNCTION("IMPORTRANGE(""https://docs.google.com/spreadsheets/d/11923uPwbBZFjjGgGUA6NLw09EwE0CqkOc4q9oUmW1yo/edit?usp=sharing"",""ลำพูน!L244"")"),459380)</f>
        <v>459380</v>
      </c>
      <c r="M349" s="372"/>
      <c r="N349" s="372">
        <f ca="1">IFERROR(__xludf.DUMMYFUNCTION("IMPORTRANGE(""https://docs.google.com/spreadsheets/d/11923uPwbBZFjjGgGUA6NLw09EwE0CqkOc4q9oUmW1yo/edit?usp=sharing"",""ลำพูน!M244"")"),401810)</f>
        <v>401810</v>
      </c>
      <c r="O349" s="372">
        <f ca="1">+IF(L349&gt;0,N349*100/L349,0)</f>
        <v>87.467891505942788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IFERROR(__xludf.DUMMYFUNCTION("IMPORTRANGE(""https://docs.google.com/spreadsheets/d/11923uPwbBZFjjGgGUA6NLw09EwE0CqkOc4q9oUmW1yo/edit?usp=sharing"",""ลำพูน!I245"")"),70)</f>
        <v>70</v>
      </c>
      <c r="J350" s="370">
        <f ca="1">IFERROR(__xludf.DUMMYFUNCTION("IMPORTRANGE(""https://docs.google.com/spreadsheets/d/11923uPwbBZFjjGgGUA6NLw09EwE0CqkOc4q9oUmW1yo/edit?usp=sharing"",""ลำพูน!J245"")"),70)</f>
        <v>70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IFERROR(__xludf.DUMMYFUNCTION("IMPORTRANGE(""https://docs.google.com/spreadsheets/d/11923uPwbBZFjjGgGUA6NLw09EwE0CqkOc4q9oUmW1yo/edit?usp=sharing"",""ลำพูน!L246"")"),0)</f>
        <v>0</v>
      </c>
      <c r="M351" s="164"/>
      <c r="N351" s="164">
        <f ca="1">IFERROR(__xludf.DUMMYFUNCTION("IMPORTRANGE(""https://docs.google.com/spreadsheets/d/11923uPwbBZFjjGgGUA6NLw09EwE0CqkOc4q9oUmW1yo/edit?usp=sharing"",""ลำพูน!M246"")"),0)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IFERROR(__xludf.DUMMYFUNCTION("IMPORTRANGE(""https://docs.google.com/spreadsheets/d/11923uPwbBZFjjGgGUA6NLw09EwE0CqkOc4q9oUmW1yo/edit?usp=sharing"",""ลำพูน!L247"")"),459380)</f>
        <v>459380</v>
      </c>
      <c r="M352" s="165"/>
      <c r="N352" s="164">
        <f ca="1">IFERROR(__xludf.DUMMYFUNCTION("IMPORTRANGE(""https://docs.google.com/spreadsheets/d/11923uPwbBZFjjGgGUA6NLw09EwE0CqkOc4q9oUmW1yo/edit?usp=sharing"",""ลำพูน!M247"")"),401810)</f>
        <v>401810</v>
      </c>
      <c r="O352" s="165">
        <f t="shared" ca="1" si="105"/>
        <v>87.467891505942788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IFERROR(__xludf.DUMMYFUNCTION("IMPORTRANGE(""https://docs.google.com/spreadsheets/d/11923uPwbBZFjjGgGUA6NLw09EwE0CqkOc4q9oUmW1yo/edit?usp=sharing"",""ลำพูน!L248"")"),0)</f>
        <v>0</v>
      </c>
      <c r="M353" s="168"/>
      <c r="N353" s="168">
        <f ca="1">IFERROR(__xludf.DUMMYFUNCTION("IMPORTRANGE(""https://docs.google.com/spreadsheets/d/11923uPwbBZFjjGgGUA6NLw09EwE0CqkOc4q9oUmW1yo/edit?usp=sharing"",""ลำพูน!M248"")"),0)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IFERROR(__xludf.DUMMYFUNCTION("IMPORTRANGE(""https://docs.google.com/spreadsheets/d/11923uPwbBZFjjGgGUA6NLw09EwE0CqkOc4q9oUmW1yo/edit?usp=sharing"",""ลำพูน!L249"")"),459380)</f>
        <v>459380</v>
      </c>
      <c r="M354" s="168"/>
      <c r="N354" s="167">
        <f ca="1">IFERROR(__xludf.DUMMYFUNCTION("IMPORTRANGE(""https://docs.google.com/spreadsheets/d/11923uPwbBZFjjGgGUA6NLw09EwE0CqkOc4q9oUmW1yo/edit?usp=sharing"",""ลำพูน!M249"")"),401810)</f>
        <v>401810</v>
      </c>
      <c r="O354" s="168">
        <f t="shared" ca="1" si="105"/>
        <v>87.467891505942788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IFERROR(__xludf.DUMMYFUNCTION("IMPORTRANGE(""https://docs.google.com/spreadsheets/d/11923uPwbBZFjjGgGUA6NLw09EwE0CqkOc4q9oUmW1yo/edit?usp=sharing"",""ลำพูน!M250"")"),84600)</f>
        <v>84600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IFERROR(__xludf.DUMMYFUNCTION("IMPORTRANGE(""https://docs.google.com/spreadsheets/d/11923uPwbBZFjjGgGUA6NLw09EwE0CqkOc4q9oUmW1yo/edit?usp=sharing"",""ลำพูน!M251"")"),183800)</f>
        <v>183800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IFERROR(__xludf.DUMMYFUNCTION("IMPORTRANGE(""https://docs.google.com/spreadsheets/d/11923uPwbBZFjjGgGUA6NLw09EwE0CqkOc4q9oUmW1yo/edit?usp=sharing"",""ลำพูน!M252"")"),100935)</f>
        <v>100935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IFERROR(__xludf.DUMMYFUNCTION("IMPORTRANGE(""https://docs.google.com/spreadsheets/d/11923uPwbBZFjjGgGUA6NLw09EwE0CqkOc4q9oUmW1yo/edit?usp=sharing"",""ลำพูน!M253"")"),32475)</f>
        <v>32475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IFERROR(__xludf.DUMMYFUNCTION("IMPORTRANGE(""https://docs.google.com/spreadsheets/d/11923uPwbBZFjjGgGUA6NLw09EwE0CqkOc4q9oUmW1yo/edit?usp=sharing"",""ลำพูน!J255"")"),0)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IFERROR(__xludf.DUMMYFUNCTION("IMPORTRANGE(""https://docs.google.com/spreadsheets/d/11923uPwbBZFjjGgGUA6NLw09EwE0CqkOc4q9oUmW1yo/edit?usp=sharing"",""ลำพูน!J256"")"),1)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IFERROR(__xludf.DUMMYFUNCTION("IMPORTRANGE(""https://docs.google.com/spreadsheets/d/11923uPwbBZFjjGgGUA6NLw09EwE0CqkOc4q9oUmW1yo/edit?usp=sharing"",""ลำพูน!J257"")"),1)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IFERROR(__xludf.DUMMYFUNCTION("IMPORTRANGE(""https://docs.google.com/spreadsheets/d/11923uPwbBZFjjGgGUA6NLw09EwE0CqkOc4q9oUmW1yo/edit?usp=sharing"",""ลำพูน!J258"")"),0)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IFERROR(__xludf.DUMMYFUNCTION("IMPORTRANGE(""https://docs.google.com/spreadsheets/d/11923uPwbBZFjjGgGUA6NLw09EwE0CqkOc4q9oUmW1yo/edit?usp=sharing"",""ลำพูน!J166"")"),0)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IFERROR(__xludf.DUMMYFUNCTION("IMPORTRANGE(""https://docs.google.com/spreadsheets/d/11923uPwbBZFjjGgGUA6NLw09EwE0CqkOc4q9oUmW1yo/edit?usp=sharing"",""ลำพูน!J166"")"),0)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IFERROR(__xludf.DUMMYFUNCTION("IMPORTRANGE(""https://docs.google.com/spreadsheets/d/11923uPwbBZFjjGgGUA6NLw09EwE0CqkOc4q9oUmW1yo/edit?usp=sharing"",""ลำพูน!J166"")"),0)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IFERROR(__xludf.DUMMYFUNCTION("IMPORTRANGE(""https://docs.google.com/spreadsheets/d/11923uPwbBZFjjGgGUA6NLw09EwE0CqkOc4q9oUmW1yo/edit?usp=sharing"",""ลำพูน!J166"")"),0)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IFERROR(__xludf.DUMMYFUNCTION("IMPORTRANGE(""https://docs.google.com/spreadsheets/d/11923uPwbBZFjjGgGUA6NLw09EwE0CqkOc4q9oUmW1yo/edit?usp=sharing"",""ลำพูน!I263"")"),70)</f>
        <v>70</v>
      </c>
      <c r="J368" s="187">
        <f ca="1">IFERROR(__xludf.DUMMYFUNCTION("IMPORTRANGE(""https://docs.google.com/spreadsheets/d/11923uPwbBZFjjGgGUA6NLw09EwE0CqkOc4q9oUmW1yo/edit?usp=sharing"",""ลำพูน!J263"")"),70)</f>
        <v>70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IFERROR(__xludf.DUMMYFUNCTION("IMPORTRANGE(""https://docs.google.com/spreadsheets/d/11923uPwbBZFjjGgGUA6NLw09EwE0CqkOc4q9oUmW1yo/edit?usp=sharing"",""ลำพูน!I164"")"),0)</f>
        <v>0</v>
      </c>
      <c r="J369" s="203">
        <f ca="1">IFERROR(__xludf.DUMMYFUNCTION("IMPORTRANGE(""https://docs.google.com/spreadsheets/d/11923uPwbBZFjjGgGUA6NLw09EwE0CqkOc4q9oUmW1yo/edit?usp=sharing"",""ลำพูน!J164"")"),0)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IFERROR(__xludf.DUMMYFUNCTION("IMPORTRANGE(""https://docs.google.com/spreadsheets/d/11923uPwbBZFjjGgGUA6NLw09EwE0CqkOc4q9oUmW1yo/edit?usp=sharing"",""ลำพูน!I265"")"),70)</f>
        <v>70</v>
      </c>
      <c r="J370" s="203">
        <f ca="1">IFERROR(__xludf.DUMMYFUNCTION("IMPORTRANGE(""https://docs.google.com/spreadsheets/d/11923uPwbBZFjjGgGUA6NLw09EwE0CqkOc4q9oUmW1yo/edit?usp=sharing"",""ลำพูน!J265"")"),70)</f>
        <v>70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IFERROR(__xludf.DUMMYFUNCTION("IMPORTRANGE(""https://docs.google.com/spreadsheets/d/11923uPwbBZFjjGgGUA6NLw09EwE0CqkOc4q9oUmW1yo/edit?usp=sharing"",""ลำพูน!I164"")"),0)</f>
        <v>0</v>
      </c>
      <c r="J371" s="188">
        <f ca="1">IFERROR(__xludf.DUMMYFUNCTION("IMPORTRANGE(""https://docs.google.com/spreadsheets/d/11923uPwbBZFjjGgGUA6NLw09EwE0CqkOc4q9oUmW1yo/edit?usp=sharing"",""ลำพูน!J164"")"),0)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IFERROR(__xludf.DUMMYFUNCTION("IMPORTRANGE(""https://docs.google.com/spreadsheets/d/11923uPwbBZFjjGgGUA6NLw09EwE0CqkOc4q9oUmW1yo/edit?usp=sharing"",""ลำพูน!I267"")"),70)</f>
        <v>70</v>
      </c>
      <c r="J372" s="188">
        <f ca="1">IFERROR(__xludf.DUMMYFUNCTION("IMPORTRANGE(""https://docs.google.com/spreadsheets/d/11923uPwbBZFjjGgGUA6NLw09EwE0CqkOc4q9oUmW1yo/edit?usp=sharing"",""ลำพูน!J267"")"),70)</f>
        <v>70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IFERROR(__xludf.DUMMYFUNCTION("IMPORTRANGE(""https://docs.google.com/spreadsheets/d/11923uPwbBZFjjGgGUA6NLw09EwE0CqkOc4q9oUmW1yo/edit?usp=sharing"",""ลำพูน!I164"")"),0)</f>
        <v>0</v>
      </c>
      <c r="J373" s="203">
        <f ca="1">IFERROR(__xludf.DUMMYFUNCTION("IMPORTRANGE(""https://docs.google.com/spreadsheets/d/11923uPwbBZFjjGgGUA6NLw09EwE0CqkOc4q9oUmW1yo/edit?usp=sharing"",""ลำพูน!J164"")"),0)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IFERROR(__xludf.DUMMYFUNCTION("IMPORTRANGE(""https://docs.google.com/spreadsheets/d/11923uPwbBZFjjGgGUA6NLw09EwE0CqkOc4q9oUmW1yo/edit?usp=sharing"",""ลำพูน!I164"")"),0)</f>
        <v>0</v>
      </c>
      <c r="J374" s="187">
        <f ca="1">IFERROR(__xludf.DUMMYFUNCTION("IMPORTRANGE(""https://docs.google.com/spreadsheets/d/11923uPwbBZFjjGgGUA6NLw09EwE0CqkOc4q9oUmW1yo/edit?usp=sharing"",""ลำพูน!J164"")"),0)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IFERROR(__xludf.DUMMYFUNCTION("IMPORTRANGE(""https://docs.google.com/spreadsheets/d/11923uPwbBZFjjGgGUA6NLw09EwE0CqkOc4q9oUmW1yo/edit?usp=sharing"",""ลำพูน!I270"")"),200)</f>
        <v>200</v>
      </c>
      <c r="J375" s="187">
        <f ca="1">IFERROR(__xludf.DUMMYFUNCTION("IMPORTRANGE(""https://docs.google.com/spreadsheets/d/11923uPwbBZFjjGgGUA6NLw09EwE0CqkOc4q9oUmW1yo/edit?usp=sharing"",""ลำพูน!J270"")"),200)</f>
        <v>200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IFERROR(__xludf.DUMMYFUNCTION("IMPORTRANGE(""https://docs.google.com/spreadsheets/d/11923uPwbBZFjjGgGUA6NLw09EwE0CqkOc4q9oUmW1yo/edit?usp=sharing"",""ลำพูน!I271"")"),100)</f>
        <v>100</v>
      </c>
      <c r="J376" s="188">
        <f ca="1">IFERROR(__xludf.DUMMYFUNCTION("IMPORTRANGE(""https://docs.google.com/spreadsheets/d/11923uPwbBZFjjGgGUA6NLw09EwE0CqkOc4q9oUmW1yo/edit?usp=sharing"",""ลำพูน!J271"")"),100)</f>
        <v>100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IFERROR(__xludf.DUMMYFUNCTION("IMPORTRANGE(""https://docs.google.com/spreadsheets/d/11923uPwbBZFjjGgGUA6NLw09EwE0CqkOc4q9oUmW1yo/edit?usp=sharing"",""ลำพูน!I272"")"),100)</f>
        <v>100</v>
      </c>
      <c r="J377" s="203">
        <f ca="1">IFERROR(__xludf.DUMMYFUNCTION("IMPORTRANGE(""https://docs.google.com/spreadsheets/d/11923uPwbBZFjjGgGUA6NLw09EwE0CqkOc4q9oUmW1yo/edit?usp=sharing"",""ลำพูน!J272"")"),100)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IFERROR(__xludf.DUMMYFUNCTION("IMPORTRANGE(""https://docs.google.com/spreadsheets/d/11923uPwbBZFjjGgGUA6NLw09EwE0CqkOc4q9oUmW1yo/edit?usp=sharing"",""ลำพูน!J273"")"),1)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IFERROR(__xludf.DUMMYFUNCTION("IMPORTRANGE(""https://docs.google.com/spreadsheets/d/11923uPwbBZFjjGgGUA6NLw09EwE0CqkOc4q9oUmW1yo/edit?usp=sharing"",""ลำพูน!J274"")"),0)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IFERROR(__xludf.DUMMYFUNCTION("IMPORTRANGE(""https://docs.google.com/spreadsheets/d/11923uPwbBZFjjGgGUA6NLw09EwE0CqkOc4q9oUmW1yo/edit?usp=sharing"",""ลำพูน!I275"")"),1000)</f>
        <v>1000</v>
      </c>
      <c r="J380" s="370">
        <f ca="1">IFERROR(__xludf.DUMMYFUNCTION("IMPORTRANGE(""https://docs.google.com/spreadsheets/d/11923uPwbBZFjjGgGUA6NLw09EwE0CqkOc4q9oUmW1yo/edit?usp=sharing"",""ลำพูน!J275"")"),0)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IFERROR(__xludf.DUMMYFUNCTION("IMPORTRANGE(""https://docs.google.com/spreadsheets/d/11923uPwbBZFjjGgGUA6NLw09EwE0CqkOc4q9oUmW1yo/edit?usp=sharing"",""ลำพูน!L275"")"),1028520)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IFERROR(__xludf.DUMMYFUNCTION("IMPORTRANGE(""https://docs.google.com/spreadsheets/d/11923uPwbBZFjjGgGUA6NLw09EwE0CqkOc4q9oUmW1yo/edit?usp=sharing"",""ลำพูน!M275"")"),332262)</f>
        <v>332262</v>
      </c>
      <c r="O380" s="372">
        <f ca="1">+IF(L380&gt;0,N380*100/L380,0)</f>
        <v>32.304865243262164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IFERROR(__xludf.DUMMYFUNCTION("IMPORTRANGE(""https://docs.google.com/spreadsheets/d/11923uPwbBZFjjGgGUA6NLw09EwE0CqkOc4q9oUmW1yo/edit?usp=sharing"",""ลำพูน!I276"")"),100)</f>
        <v>100</v>
      </c>
      <c r="J381" s="370">
        <f ca="1">IFERROR(__xludf.DUMMYFUNCTION("IMPORTRANGE(""https://docs.google.com/spreadsheets/d/11923uPwbBZFjjGgGUA6NLw09EwE0CqkOc4q9oUmW1yo/edit?usp=sharing"",""ลำพูน!J276"")"),100)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IFERROR(__xludf.DUMMYFUNCTION("IMPORTRANGE(""https://docs.google.com/spreadsheets/d/11923uPwbBZFjjGgGUA6NLw09EwE0CqkOc4q9oUmW1yo/edit?usp=sharing"",""ลำพูน!L277"")"),0)</f>
        <v>0</v>
      </c>
      <c r="M382" s="164"/>
      <c r="N382" s="164">
        <f ca="1">IFERROR(__xludf.DUMMYFUNCTION("IMPORTRANGE(""https://docs.google.com/spreadsheets/d/11923uPwbBZFjjGgGUA6NLw09EwE0CqkOc4q9oUmW1yo/edit?usp=sharing"",""ลำพูน!M277"")"),0)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IFERROR(__xludf.DUMMYFUNCTION("IMPORTRANGE(""https://docs.google.com/spreadsheets/d/11923uPwbBZFjjGgGUA6NLw09EwE0CqkOc4q9oUmW1yo/edit?usp=sharing"",""ลำพูน!L278"")"),1028520)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IFERROR(__xludf.DUMMYFUNCTION("IMPORTRANGE(""https://docs.google.com/spreadsheets/d/11923uPwbBZFjjGgGUA6NLw09EwE0CqkOc4q9oUmW1yo/edit?usp=sharing"",""ลำพูน!M278"")"),332262)</f>
        <v>332262</v>
      </c>
      <c r="O383" s="165">
        <f t="shared" ca="1" si="109"/>
        <v>32.304865243262164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IFERROR(__xludf.DUMMYFUNCTION("IMPORTRANGE(""https://docs.google.com/spreadsheets/d/11923uPwbBZFjjGgGUA6NLw09EwE0CqkOc4q9oUmW1yo/edit?usp=sharing"",""ลำพูน!L279"")"),0)</f>
        <v>0</v>
      </c>
      <c r="M384" s="168"/>
      <c r="N384" s="168">
        <f ca="1">IFERROR(__xludf.DUMMYFUNCTION("IMPORTRANGE(""https://docs.google.com/spreadsheets/d/11923uPwbBZFjjGgGUA6NLw09EwE0CqkOc4q9oUmW1yo/edit?usp=sharing"",""ลำพูน!M279"")"),0)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IFERROR(__xludf.DUMMYFUNCTION("IMPORTRANGE(""https://docs.google.com/spreadsheets/d/11923uPwbBZFjjGgGUA6NLw09EwE0CqkOc4q9oUmW1yo/edit?usp=sharing"",""ลำพูน!L280"")"),1028520)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IFERROR(__xludf.DUMMYFUNCTION("IMPORTRANGE(""https://docs.google.com/spreadsheets/d/11923uPwbBZFjjGgGUA6NLw09EwE0CqkOc4q9oUmW1yo/edit?usp=sharing"",""ลำพูน!M280"")"),332262)</f>
        <v>332262</v>
      </c>
      <c r="O385" s="168">
        <f t="shared" ca="1" si="109"/>
        <v>32.304865243262164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IFERROR(__xludf.DUMMYFUNCTION("IMPORTRANGE(""https://docs.google.com/spreadsheets/d/11923uPwbBZFjjGgGUA6NLw09EwE0CqkOc4q9oUmW1yo/edit?usp=sharing"",""ลำพูน!M281"")"),198000)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IFERROR(__xludf.DUMMYFUNCTION("IMPORTRANGE(""https://docs.google.com/spreadsheets/d/11923uPwbBZFjjGgGUA6NLw09EwE0CqkOc4q9oUmW1yo/edit?usp=sharing"",""ลำพูน!M282"")"),0)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IFERROR(__xludf.DUMMYFUNCTION("IMPORTRANGE(""https://docs.google.com/spreadsheets/d/11923uPwbBZFjjGgGUA6NLw09EwE0CqkOc4q9oUmW1yo/edit?usp=sharing"",""ลำพูน!M283"")"),99467)</f>
        <v>99467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IFERROR(__xludf.DUMMYFUNCTION("IMPORTRANGE(""https://docs.google.com/spreadsheets/d/11923uPwbBZFjjGgGUA6NLw09EwE0CqkOc4q9oUmW1yo/edit?usp=sharing"",""ลำพูน!M284"")"),34795)</f>
        <v>34795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IFERROR(__xludf.DUMMYFUNCTION("IMPORTRANGE(""https://docs.google.com/spreadsheets/d/11923uPwbBZFjjGgGUA6NLw09EwE0CqkOc4q9oUmW1yo/edit?usp=sharing"",""ลำพูน!J286"")"),0)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IFERROR(__xludf.DUMMYFUNCTION("IMPORTRANGE(""https://docs.google.com/spreadsheets/d/11923uPwbBZFjjGgGUA6NLw09EwE0CqkOc4q9oUmW1yo/edit?usp=sharing"",""ลำพูน!J287"")"),1)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IFERROR(__xludf.DUMMYFUNCTION("IMPORTRANGE(""https://docs.google.com/spreadsheets/d/11923uPwbBZFjjGgGUA6NLw09EwE0CqkOc4q9oUmW1yo/edit?usp=sharing"",""ลำพูน!J288"")"),1)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IFERROR(__xludf.DUMMYFUNCTION("IMPORTRANGE(""https://docs.google.com/spreadsheets/d/11923uPwbBZFjjGgGUA6NLw09EwE0CqkOc4q9oUmW1yo/edit?usp=sharing"",""ลำพูน!J289"")"),1)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IFERROR(__xludf.DUMMYFUNCTION("IMPORTRANGE(""https://docs.google.com/spreadsheets/d/11923uPwbBZFjjGgGUA6NLw09EwE0CqkOc4q9oUmW1yo/edit?usp=sharing"",""ลำพูน!I291"")"),100)</f>
        <v>100</v>
      </c>
      <c r="J396" s="197">
        <f ca="1">IFERROR(__xludf.DUMMYFUNCTION("IMPORTRANGE(""https://docs.google.com/spreadsheets/d/11923uPwbBZFjjGgGUA6NLw09EwE0CqkOc4q9oUmW1yo/edit?usp=sharing"",""ลำพูน!J291"")"),100)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IFERROR(__xludf.DUMMYFUNCTION("IMPORTRANGE(""https://docs.google.com/spreadsheets/d/11923uPwbBZFjjGgGUA6NLw09EwE0CqkOc4q9oUmW1yo/edit?usp=sharing"",""ลำพูน!I292"")"),1000)</f>
        <v>1000</v>
      </c>
      <c r="J397" s="197">
        <f ca="1">IFERROR(__xludf.DUMMYFUNCTION("IMPORTRANGE(""https://docs.google.com/spreadsheets/d/11923uPwbBZFjjGgGUA6NLw09EwE0CqkOc4q9oUmW1yo/edit?usp=sharing"",""ลำพูน!J292"")"),0)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IFERROR(__xludf.DUMMYFUNCTION("IMPORTRANGE(""https://docs.google.com/spreadsheets/d/11923uPwbBZFjjGgGUA6NLw09EwE0CqkOc4q9oUmW1yo/edit?usp=sharing"",""ลำพูน!I293"")"),100)</f>
        <v>100</v>
      </c>
      <c r="J398" s="197">
        <f ca="1">IFERROR(__xludf.DUMMYFUNCTION("IMPORTRANGE(""https://docs.google.com/spreadsheets/d/11923uPwbBZFjjGgGUA6NLw09EwE0CqkOc4q9oUmW1yo/edit?usp=sharing"",""ลำพูน!J293"")"),150)</f>
        <v>150</v>
      </c>
      <c r="K398" s="163">
        <f t="shared" ca="1" si="110"/>
        <v>150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IFERROR(__xludf.DUMMYFUNCTION("IMPORTRANGE(""https://docs.google.com/spreadsheets/d/11923uPwbBZFjjGgGUA6NLw09EwE0CqkOc4q9oUmW1yo/edit?usp=sharing"",""ลำพูน!J294"")"),0)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IFERROR(__xludf.DUMMYFUNCTION("IMPORTRANGE(""https://docs.google.com/spreadsheets/d/11923uPwbBZFjjGgGUA6NLw09EwE0CqkOc4q9oUmW1yo/edit?usp=sharing"",""ลำพูน!J295"")"),0)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IFERROR(__xludf.DUMMYFUNCTION("IMPORTRANGE(""https://docs.google.com/spreadsheets/d/11923uPwbBZFjjGgGUA6NLw09EwE0CqkOc4q9oUmW1yo/edit?usp=sharing"",""ลำพูน!I296"")"),165)</f>
        <v>165</v>
      </c>
      <c r="J401" s="370">
        <f ca="1">IFERROR(__xludf.DUMMYFUNCTION("IMPORTRANGE(""https://docs.google.com/spreadsheets/d/11923uPwbBZFjjGgGUA6NLw09EwE0CqkOc4q9oUmW1yo/edit?usp=sharing"",""ลำพูน!J296"")"),165)</f>
        <v>165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IFERROR(__xludf.DUMMYFUNCTION("IMPORTRANGE(""https://docs.google.com/spreadsheets/d/11923uPwbBZFjjGgGUA6NLw09EwE0CqkOc4q9oUmW1yo/edit?usp=sharing"",""ลำพูน!L296"")"),188190)</f>
        <v>188190</v>
      </c>
      <c r="M401" s="372"/>
      <c r="N401" s="372">
        <f ca="1">IFERROR(__xludf.DUMMYFUNCTION("IMPORTRANGE(""https://docs.google.com/spreadsheets/d/11923uPwbBZFjjGgGUA6NLw09EwE0CqkOc4q9oUmW1yo/edit?usp=sharing"",""ลำพูน!M296"")"),188190)</f>
        <v>188190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IFERROR(__xludf.DUMMYFUNCTION("IMPORTRANGE(""https://docs.google.com/spreadsheets/d/11923uPwbBZFjjGgGUA6NLw09EwE0CqkOc4q9oUmW1yo/edit?usp=sharing"",""ลำพูน!I297"")"),55)</f>
        <v>55</v>
      </c>
      <c r="J402" s="370">
        <f ca="1">IFERROR(__xludf.DUMMYFUNCTION("IMPORTRANGE(""https://docs.google.com/spreadsheets/d/11923uPwbBZFjjGgGUA6NLw09EwE0CqkOc4q9oUmW1yo/edit?usp=sharing"",""ลำพูน!J297"")"),55)</f>
        <v>55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IFERROR(__xludf.DUMMYFUNCTION("IMPORTRANGE(""https://docs.google.com/spreadsheets/d/11923uPwbBZFjjGgGUA6NLw09EwE0CqkOc4q9oUmW1yo/edit?usp=sharing"",""ลำพูน!L298"")"),0)</f>
        <v>0</v>
      </c>
      <c r="M403" s="164"/>
      <c r="N403" s="168">
        <f ca="1">IFERROR(__xludf.DUMMYFUNCTION("IMPORTRANGE(""https://docs.google.com/spreadsheets/d/11923uPwbBZFjjGgGUA6NLw09EwE0CqkOc4q9oUmW1yo/edit?usp=sharing"",""ลำพูน!M298"")"),0)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IFERROR(__xludf.DUMMYFUNCTION("IMPORTRANGE(""https://docs.google.com/spreadsheets/d/11923uPwbBZFjjGgGUA6NLw09EwE0CqkOc4q9oUmW1yo/edit?usp=sharing"",""ลำพูน!L299"")"),188190)</f>
        <v>188190</v>
      </c>
      <c r="M404" s="165"/>
      <c r="N404" s="168">
        <f ca="1">IFERROR(__xludf.DUMMYFUNCTION("IMPORTRANGE(""https://docs.google.com/spreadsheets/d/11923uPwbBZFjjGgGUA6NLw09EwE0CqkOc4q9oUmW1yo/edit?usp=sharing"",""ลำพูน!M299"")"),188190)</f>
        <v>188190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IFERROR(__xludf.DUMMYFUNCTION("IMPORTRANGE(""https://docs.google.com/spreadsheets/d/11923uPwbBZFjjGgGUA6NLw09EwE0CqkOc4q9oUmW1yo/edit?usp=sharing"",""ลำพูน!L300"")"),0)</f>
        <v>0</v>
      </c>
      <c r="M405" s="168"/>
      <c r="N405" s="168">
        <f ca="1">IFERROR(__xludf.DUMMYFUNCTION("IMPORTRANGE(""https://docs.google.com/spreadsheets/d/11923uPwbBZFjjGgGUA6NLw09EwE0CqkOc4q9oUmW1yo/edit?usp=sharing"",""ลำพูน!M300"")"),0)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IFERROR(__xludf.DUMMYFUNCTION("IMPORTRANGE(""https://docs.google.com/spreadsheets/d/11923uPwbBZFjjGgGUA6NLw09EwE0CqkOc4q9oUmW1yo/edit?usp=sharing"",""ลำพูน!L301"")"),188190)</f>
        <v>188190</v>
      </c>
      <c r="M406" s="168"/>
      <c r="N406" s="168">
        <f ca="1">IFERROR(__xludf.DUMMYFUNCTION("IMPORTRANGE(""https://docs.google.com/spreadsheets/d/11923uPwbBZFjjGgGUA6NLw09EwE0CqkOc4q9oUmW1yo/edit?usp=sharing"",""ลำพูน!M301"")"),188190)</f>
        <v>188190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IFERROR(__xludf.DUMMYFUNCTION("IMPORTRANGE(""https://docs.google.com/spreadsheets/d/11923uPwbBZFjjGgGUA6NLw09EwE0CqkOc4q9oUmW1yo/edit?usp=sharing"",""ลำพูน!M302"")"),116250)</f>
        <v>116250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IFERROR(__xludf.DUMMYFUNCTION("IMPORTRANGE(""https://docs.google.com/spreadsheets/d/11923uPwbBZFjjGgGUA6NLw09EwE0CqkOc4q9oUmW1yo/edit?usp=sharing"",""ลำพูน!M303"")"),39500)</f>
        <v>39500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IFERROR(__xludf.DUMMYFUNCTION("IMPORTRANGE(""https://docs.google.com/spreadsheets/d/11923uPwbBZFjjGgGUA6NLw09EwE0CqkOc4q9oUmW1yo/edit?usp=sharing"",""ลำพูน!M304"")"),0)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IFERROR(__xludf.DUMMYFUNCTION("IMPORTRANGE(""https://docs.google.com/spreadsheets/d/11923uPwbBZFjjGgGUA6NLw09EwE0CqkOc4q9oUmW1yo/edit?usp=sharing"",""ลำพูน!M305"")"),32440)</f>
        <v>32440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IFERROR(__xludf.DUMMYFUNCTION("IMPORTRANGE(""https://docs.google.com/spreadsheets/d/11923uPwbBZFjjGgGUA6NLw09EwE0CqkOc4q9oUmW1yo/edit?usp=sharing"",""ลำพูน!J307"")"),0)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IFERROR(__xludf.DUMMYFUNCTION("IMPORTRANGE(""https://docs.google.com/spreadsheets/d/11923uPwbBZFjjGgGUA6NLw09EwE0CqkOc4q9oUmW1yo/edit?usp=sharing"",""ลำพูน!J308"")"),1)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IFERROR(__xludf.DUMMYFUNCTION("IMPORTRANGE(""https://docs.google.com/spreadsheets/d/11923uPwbBZFjjGgGUA6NLw09EwE0CqkOc4q9oUmW1yo/edit?usp=sharing"",""ลำพูน!J309"")"),1)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IFERROR(__xludf.DUMMYFUNCTION("IMPORTRANGE(""https://docs.google.com/spreadsheets/d/11923uPwbBZFjjGgGUA6NLw09EwE0CqkOc4q9oUmW1yo/edit?usp=sharing"",""ลำพูน!J310"")"),1)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IFERROR(__xludf.DUMMYFUNCTION("IMPORTRANGE(""https://docs.google.com/spreadsheets/d/11923uPwbBZFjjGgGUA6NLw09EwE0CqkOc4q9oUmW1yo/edit?usp=sharing"",""ลำพูน!I311"")"),55)</f>
        <v>55</v>
      </c>
      <c r="J416" s="200">
        <f ca="1">IFERROR(__xludf.DUMMYFUNCTION("IMPORTRANGE(""https://docs.google.com/spreadsheets/d/11923uPwbBZFjjGgGUA6NLw09EwE0CqkOc4q9oUmW1yo/edit?usp=sharing"",""ลำพูน!J311"")"),55)</f>
        <v>55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IFERROR(__xludf.DUMMYFUNCTION("IMPORTRANGE(""https://docs.google.com/spreadsheets/d/11923uPwbBZFjjGgGUA6NLw09EwE0CqkOc4q9oUmW1yo/edit?usp=sharing"",""ลำพูน!I312"")"),10)</f>
        <v>10</v>
      </c>
      <c r="J417" s="391">
        <f ca="1">IFERROR(__xludf.DUMMYFUNCTION("IMPORTRANGE(""https://docs.google.com/spreadsheets/d/11923uPwbBZFjjGgGUA6NLw09EwE0CqkOc4q9oUmW1yo/edit?usp=sharing"",""ลำพูน!J312"")"),10)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IFERROR(__xludf.DUMMYFUNCTION("IMPORTRANGE(""https://docs.google.com/spreadsheets/d/11923uPwbBZFjjGgGUA6NLw09EwE0CqkOc4q9oUmW1yo/edit?usp=sharing"",""ลำพูน!I313"")"),30)</f>
        <v>30</v>
      </c>
      <c r="J418" s="392">
        <f ca="1">IFERROR(__xludf.DUMMYFUNCTION("IMPORTRANGE(""https://docs.google.com/spreadsheets/d/11923uPwbBZFjjGgGUA6NLw09EwE0CqkOc4q9oUmW1yo/edit?usp=sharing"",""ลำพูน!J313"")"),30)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IFERROR(__xludf.DUMMYFUNCTION("IMPORTRANGE(""https://docs.google.com/spreadsheets/d/11923uPwbBZFjjGgGUA6NLw09EwE0CqkOc4q9oUmW1yo/edit?usp=sharing"",""ลำพูน!I314"")"),10)</f>
        <v>10</v>
      </c>
      <c r="J419" s="393">
        <f ca="1">IFERROR(__xludf.DUMMYFUNCTION("IMPORTRANGE(""https://docs.google.com/spreadsheets/d/11923uPwbBZFjjGgGUA6NLw09EwE0CqkOc4q9oUmW1yo/edit?usp=sharing"",""ลำพูน!J314"")"),10)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IFERROR(__xludf.DUMMYFUNCTION("IMPORTRANGE(""https://docs.google.com/spreadsheets/d/11923uPwbBZFjjGgGUA6NLw09EwE0CqkOc4q9oUmW1yo/edit?usp=sharing"",""ลำพูน!I315"")"),10)</f>
        <v>10</v>
      </c>
      <c r="J420" s="393">
        <f ca="1">IFERROR(__xludf.DUMMYFUNCTION("IMPORTRANGE(""https://docs.google.com/spreadsheets/d/11923uPwbBZFjjGgGUA6NLw09EwE0CqkOc4q9oUmW1yo/edit?usp=sharing"",""ลำพูน!J315"")"),10)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IFERROR(__xludf.DUMMYFUNCTION("IMPORTRANGE(""https://docs.google.com/spreadsheets/d/11923uPwbBZFjjGgGUA6NLw09EwE0CqkOc4q9oUmW1yo/edit?usp=sharing"",""ลำพูน!I316"")"),35)</f>
        <v>35</v>
      </c>
      <c r="J421" s="391">
        <f ca="1">IFERROR(__xludf.DUMMYFUNCTION("IMPORTRANGE(""https://docs.google.com/spreadsheets/d/11923uPwbBZFjjGgGUA6NLw09EwE0CqkOc4q9oUmW1yo/edit?usp=sharing"",""ลำพูน!J316"")"),35)</f>
        <v>35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IFERROR(__xludf.DUMMYFUNCTION("IMPORTRANGE(""https://docs.google.com/spreadsheets/d/11923uPwbBZFjjGgGUA6NLw09EwE0CqkOc4q9oUmW1yo/edit?usp=sharing"",""ลำพูน!I317"")"),105)</f>
        <v>105</v>
      </c>
      <c r="J422" s="392">
        <f ca="1">IFERROR(__xludf.DUMMYFUNCTION("IMPORTRANGE(""https://docs.google.com/spreadsheets/d/11923uPwbBZFjjGgGUA6NLw09EwE0CqkOc4q9oUmW1yo/edit?usp=sharing"",""ลำพูน!J317"")"),105)</f>
        <v>105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IFERROR(__xludf.DUMMYFUNCTION("IMPORTRANGE(""https://docs.google.com/spreadsheets/d/11923uPwbBZFjjGgGUA6NLw09EwE0CqkOc4q9oUmW1yo/edit?usp=sharing"",""ลำพูน!I318"")"),35)</f>
        <v>35</v>
      </c>
      <c r="J423" s="393">
        <f ca="1">IFERROR(__xludf.DUMMYFUNCTION("IMPORTRANGE(""https://docs.google.com/spreadsheets/d/11923uPwbBZFjjGgGUA6NLw09EwE0CqkOc4q9oUmW1yo/edit?usp=sharing"",""ลำพูน!J318"")"),35)</f>
        <v>35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IFERROR(__xludf.DUMMYFUNCTION("IMPORTRANGE(""https://docs.google.com/spreadsheets/d/11923uPwbBZFjjGgGUA6NLw09EwE0CqkOc4q9oUmW1yo/edit?usp=sharing"",""ลำพูน!I319"")"),35)</f>
        <v>35</v>
      </c>
      <c r="J424" s="393">
        <f ca="1">IFERROR(__xludf.DUMMYFUNCTION("IMPORTRANGE(""https://docs.google.com/spreadsheets/d/11923uPwbBZFjjGgGUA6NLw09EwE0CqkOc4q9oUmW1yo/edit?usp=sharing"",""ลำพูน!J319"")"),35)</f>
        <v>35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IFERROR(__xludf.DUMMYFUNCTION("IMPORTRANGE(""https://docs.google.com/spreadsheets/d/11923uPwbBZFjjGgGUA6NLw09EwE0CqkOc4q9oUmW1yo/edit?usp=sharing"",""ลำพูน!I320"")"),35)</f>
        <v>35</v>
      </c>
      <c r="J425" s="393">
        <f ca="1">IFERROR(__xludf.DUMMYFUNCTION("IMPORTRANGE(""https://docs.google.com/spreadsheets/d/11923uPwbBZFjjGgGUA6NLw09EwE0CqkOc4q9oUmW1yo/edit?usp=sharing"",""ลำพูน!J320"")"),35)</f>
        <v>35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IFERROR(__xludf.DUMMYFUNCTION("IMPORTRANGE(""https://docs.google.com/spreadsheets/d/11923uPwbBZFjjGgGUA6NLw09EwE0CqkOc4q9oUmW1yo/edit?usp=sharing"",""ลำพูน!I321"")"),10)</f>
        <v>10</v>
      </c>
      <c r="J426" s="391">
        <f ca="1">IFERROR(__xludf.DUMMYFUNCTION("IMPORTRANGE(""https://docs.google.com/spreadsheets/d/11923uPwbBZFjjGgGUA6NLw09EwE0CqkOc4q9oUmW1yo/edit?usp=sharing"",""ลำพูน!J321"")"),10)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IFERROR(__xludf.DUMMYFUNCTION("IMPORTRANGE(""https://docs.google.com/spreadsheets/d/11923uPwbBZFjjGgGUA6NLw09EwE0CqkOc4q9oUmW1yo/edit?usp=sharing"",""ลำพูน!I322"")"),30)</f>
        <v>30</v>
      </c>
      <c r="J427" s="392">
        <f ca="1">IFERROR(__xludf.DUMMYFUNCTION("IMPORTRANGE(""https://docs.google.com/spreadsheets/d/11923uPwbBZFjjGgGUA6NLw09EwE0CqkOc4q9oUmW1yo/edit?usp=sharing"",""ลำพูน!J322"")"),30)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IFERROR(__xludf.DUMMYFUNCTION("IMPORTRANGE(""https://docs.google.com/spreadsheets/d/11923uPwbBZFjjGgGUA6NLw09EwE0CqkOc4q9oUmW1yo/edit?usp=sharing"",""ลำพูน!I323"")"),10)</f>
        <v>10</v>
      </c>
      <c r="J428" s="393">
        <f ca="1">IFERROR(__xludf.DUMMYFUNCTION("IMPORTRANGE(""https://docs.google.com/spreadsheets/d/11923uPwbBZFjjGgGUA6NLw09EwE0CqkOc4q9oUmW1yo/edit?usp=sharing"",""ลำพูน!J323"")"),10)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IFERROR(__xludf.DUMMYFUNCTION("IMPORTRANGE(""https://docs.google.com/spreadsheets/d/11923uPwbBZFjjGgGUA6NLw09EwE0CqkOc4q9oUmW1yo/edit?usp=sharing"",""ลำพูน!I324"")"),10)</f>
        <v>10</v>
      </c>
      <c r="J429" s="393">
        <f ca="1">IFERROR(__xludf.DUMMYFUNCTION("IMPORTRANGE(""https://docs.google.com/spreadsheets/d/11923uPwbBZFjjGgGUA6NLw09EwE0CqkOc4q9oUmW1yo/edit?usp=sharing"",""ลำพูน!J324"")"),10)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IFERROR(__xludf.DUMMYFUNCTION("IMPORTRANGE(""https://docs.google.com/spreadsheets/d/11923uPwbBZFjjGgGUA6NLw09EwE0CqkOc4q9oUmW1yo/edit?usp=sharing"",""ลำพูน!I325"")"),45)</f>
        <v>45</v>
      </c>
      <c r="J430" s="391">
        <f ca="1">IFERROR(__xludf.DUMMYFUNCTION("IMPORTRANGE(""https://docs.google.com/spreadsheets/d/11923uPwbBZFjjGgGUA6NLw09EwE0CqkOc4q9oUmW1yo/edit?usp=sharing"",""ลำพูน!J325"")"),45)</f>
        <v>45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IFERROR(__xludf.DUMMYFUNCTION("IMPORTRANGE(""https://docs.google.com/spreadsheets/d/11923uPwbBZFjjGgGUA6NLw09EwE0CqkOc4q9oUmW1yo/edit?usp=sharing"",""ลำพูน!I326"")"),10)</f>
        <v>10</v>
      </c>
      <c r="J431" s="393">
        <f ca="1">IFERROR(__xludf.DUMMYFUNCTION("IMPORTRANGE(""https://docs.google.com/spreadsheets/d/11923uPwbBZFjjGgGUA6NLw09EwE0CqkOc4q9oUmW1yo/edit?usp=sharing"",""ลำพูน!J326"")"),10)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IFERROR(__xludf.DUMMYFUNCTION("IMPORTRANGE(""https://docs.google.com/spreadsheets/d/11923uPwbBZFjjGgGUA6NLw09EwE0CqkOc4q9oUmW1yo/edit?usp=sharing"",""ลำพูน!I327"")"),35)</f>
        <v>35</v>
      </c>
      <c r="J432" s="393">
        <f ca="1">IFERROR(__xludf.DUMMYFUNCTION("IMPORTRANGE(""https://docs.google.com/spreadsheets/d/11923uPwbBZFjjGgGUA6NLw09EwE0CqkOc4q9oUmW1yo/edit?usp=sharing"",""ลำพูน!J327"")"),35)</f>
        <v>35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IFERROR(__xludf.DUMMYFUNCTION("IMPORTRANGE(""https://docs.google.com/spreadsheets/d/11923uPwbBZFjjGgGUA6NLw09EwE0CqkOc4q9oUmW1yo/edit?usp=sharing"",""ลำพูน!J328"")"),0)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IFERROR(__xludf.DUMMYFUNCTION("IMPORTRANGE(""https://docs.google.com/spreadsheets/d/11923uPwbBZFjjGgGUA6NLw09EwE0CqkOc4q9oUmW1yo/edit?usp=sharing"",""ลำพูน!J329"")"),0)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IFERROR(__xludf.DUMMYFUNCTION("IMPORTRANGE(""https://docs.google.com/spreadsheets/d/11923uPwbBZFjjGgGUA6NLw09EwE0CqkOc4q9oUmW1yo/edit?usp=sharing"",""ลำพูน!I330"")"),20)</f>
        <v>20</v>
      </c>
      <c r="J435" s="409">
        <f ca="1">IFERROR(__xludf.DUMMYFUNCTION("IMPORTRANGE(""https://docs.google.com/spreadsheets/d/11923uPwbBZFjjGgGUA6NLw09EwE0CqkOc4q9oUmW1yo/edit?usp=sharing"",""ลำพูน!J330"")"),20)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IFERROR(__xludf.DUMMYFUNCTION("IMPORTRANGE(""https://docs.google.com/spreadsheets/d/11923uPwbBZFjjGgGUA6NLw09EwE0CqkOc4q9oUmW1yo/edit?usp=sharing"",""ลำพูน!L330"")"),118000)</f>
        <v>118000</v>
      </c>
      <c r="M435" s="411"/>
      <c r="N435" s="411">
        <f ca="1">IFERROR(__xludf.DUMMYFUNCTION("IMPORTRANGE(""https://docs.google.com/spreadsheets/d/11923uPwbBZFjjGgGUA6NLw09EwE0CqkOc4q9oUmW1yo/edit?usp=sharing"",""ลำพูน!M330"")"),116079)</f>
        <v>116079</v>
      </c>
      <c r="O435" s="411">
        <f t="shared" ref="O435:O439" ca="1" si="114">+IF(L435&gt;0,N435*100/L435,0)</f>
        <v>98.372033898305091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IFERROR(__xludf.DUMMYFUNCTION("IMPORTRANGE(""https://docs.google.com/spreadsheets/d/11923uPwbBZFjjGgGUA6NLw09EwE0CqkOc4q9oUmW1yo/edit?usp=sharing"",""ลำพูน!L331"")"),0)</f>
        <v>0</v>
      </c>
      <c r="M436" s="164"/>
      <c r="N436" s="168">
        <f ca="1">IFERROR(__xludf.DUMMYFUNCTION("IMPORTRANGE(""https://docs.google.com/spreadsheets/d/11923uPwbBZFjjGgGUA6NLw09EwE0CqkOc4q9oUmW1yo/edit?usp=sharing"",""ลำพูน!M331"")"),0)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IFERROR(__xludf.DUMMYFUNCTION("IMPORTRANGE(""https://docs.google.com/spreadsheets/d/11923uPwbBZFjjGgGUA6NLw09EwE0CqkOc4q9oUmW1yo/edit?usp=sharing"",""ลำพูน!L332"")"),118000)</f>
        <v>118000</v>
      </c>
      <c r="M437" s="165"/>
      <c r="N437" s="168">
        <f ca="1">IFERROR(__xludf.DUMMYFUNCTION("IMPORTRANGE(""https://docs.google.com/spreadsheets/d/11923uPwbBZFjjGgGUA6NLw09EwE0CqkOc4q9oUmW1yo/edit?usp=sharing"",""ลำพูน!M332"")"),116079)</f>
        <v>116079</v>
      </c>
      <c r="O437" s="168">
        <f t="shared" ca="1" si="114"/>
        <v>98.372033898305091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IFERROR(__xludf.DUMMYFUNCTION("IMPORTRANGE(""https://docs.google.com/spreadsheets/d/11923uPwbBZFjjGgGUA6NLw09EwE0CqkOc4q9oUmW1yo/edit?usp=sharing"",""ลำพูน!L333"")"),0)</f>
        <v>0</v>
      </c>
      <c r="M438" s="168"/>
      <c r="N438" s="168">
        <f ca="1">IFERROR(__xludf.DUMMYFUNCTION("IMPORTRANGE(""https://docs.google.com/spreadsheets/d/11923uPwbBZFjjGgGUA6NLw09EwE0CqkOc4q9oUmW1yo/edit?usp=sharing"",""ลำพูน!M333"")"),0)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IFERROR(__xludf.DUMMYFUNCTION("IMPORTRANGE(""https://docs.google.com/spreadsheets/d/11923uPwbBZFjjGgGUA6NLw09EwE0CqkOc4q9oUmW1yo/edit?usp=sharing"",""ลำพูน!L334"")"),118000)</f>
        <v>118000</v>
      </c>
      <c r="M439" s="168"/>
      <c r="N439" s="168">
        <f ca="1">IFERROR(__xludf.DUMMYFUNCTION("IMPORTRANGE(""https://docs.google.com/spreadsheets/d/11923uPwbBZFjjGgGUA6NLw09EwE0CqkOc4q9oUmW1yo/edit?usp=sharing"",""ลำพูน!M334"")"),116079)</f>
        <v>116079</v>
      </c>
      <c r="O439" s="168">
        <f t="shared" ca="1" si="114"/>
        <v>98.372033898305091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IFERROR(__xludf.DUMMYFUNCTION("IMPORTRANGE(""https://docs.google.com/spreadsheets/d/11923uPwbBZFjjGgGUA6NLw09EwE0CqkOc4q9oUmW1yo/edit?usp=sharing"",""ลำพูน!M335"")"),59870)</f>
        <v>59870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IFERROR(__xludf.DUMMYFUNCTION("IMPORTRANGE(""https://docs.google.com/spreadsheets/d/11923uPwbBZFjjGgGUA6NLw09EwE0CqkOc4q9oUmW1yo/edit?usp=sharing"",""ลำพูน!M336"")"),0)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IFERROR(__xludf.DUMMYFUNCTION("IMPORTRANGE(""https://docs.google.com/spreadsheets/d/11923uPwbBZFjjGgGUA6NLw09EwE0CqkOc4q9oUmW1yo/edit?usp=sharing"",""ลำพูน!M337"")"),0)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IFERROR(__xludf.DUMMYFUNCTION("IMPORTRANGE(""https://docs.google.com/spreadsheets/d/11923uPwbBZFjjGgGUA6NLw09EwE0CqkOc4q9oUmW1yo/edit?usp=sharing"",""ลำพูน!M338"")"),56209)</f>
        <v>56209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IFERROR(__xludf.DUMMYFUNCTION("IMPORTRANGE(""https://docs.google.com/spreadsheets/d/11923uPwbBZFjjGgGUA6NLw09EwE0CqkOc4q9oUmW1yo/edit?usp=sharing"",""ลำพูน!J340"")"),0)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IFERROR(__xludf.DUMMYFUNCTION("IMPORTRANGE(""https://docs.google.com/spreadsheets/d/11923uPwbBZFjjGgGUA6NLw09EwE0CqkOc4q9oUmW1yo/edit?usp=sharing"",""ลำพูน!J341"")"),1)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IFERROR(__xludf.DUMMYFUNCTION("IMPORTRANGE(""https://docs.google.com/spreadsheets/d/11923uPwbBZFjjGgGUA6NLw09EwE0CqkOc4q9oUmW1yo/edit?usp=sharing"",""ลำพูน!J342"")"),1)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IFERROR(__xludf.DUMMYFUNCTION("IMPORTRANGE(""https://docs.google.com/spreadsheets/d/11923uPwbBZFjjGgGUA6NLw09EwE0CqkOc4q9oUmW1yo/edit?usp=sharing"",""ลำพูน!J343"")"),1)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IFERROR(__xludf.DUMMYFUNCTION("IMPORTRANGE(""https://docs.google.com/spreadsheets/d/11923uPwbBZFjjGgGUA6NLw09EwE0CqkOc4q9oUmW1yo/edit?usp=sharing"",""ลำพูน!I344"")"),20)</f>
        <v>20</v>
      </c>
      <c r="J449" s="200">
        <f ca="1">IFERROR(__xludf.DUMMYFUNCTION("IMPORTRANGE(""https://docs.google.com/spreadsheets/d/11923uPwbBZFjjGgGUA6NLw09EwE0CqkOc4q9oUmW1yo/edit?usp=sharing"",""ลำพูน!J344"")"),20)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IFERROR(__xludf.DUMMYFUNCTION("IMPORTRANGE(""https://docs.google.com/spreadsheets/d/11923uPwbBZFjjGgGUA6NLw09EwE0CqkOc4q9oUmW1yo/edit?usp=sharing"",""ลำพูน!I345"")"),20)</f>
        <v>20</v>
      </c>
      <c r="J450" s="188">
        <f ca="1">IFERROR(__xludf.DUMMYFUNCTION("IMPORTRANGE(""https://docs.google.com/spreadsheets/d/11923uPwbBZFjjGgGUA6NLw09EwE0CqkOc4q9oUmW1yo/edit?usp=sharing"",""ลำพูน!J345"")"),20)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IFERROR(__xludf.DUMMYFUNCTION("IMPORTRANGE(""https://docs.google.com/spreadsheets/d/11923uPwbBZFjjGgGUA6NLw09EwE0CqkOc4q9oUmW1yo/edit?usp=sharing"",""ลำพูน!I346"")"),0)</f>
        <v>0</v>
      </c>
      <c r="J451" s="187">
        <f ca="1">IFERROR(__xludf.DUMMYFUNCTION("IMPORTRANGE(""https://docs.google.com/spreadsheets/d/11923uPwbBZFjjGgGUA6NLw09EwE0CqkOc4q9oUmW1yo/edit?usp=sharing"",""ลำพูน!J346"")"),0)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IFERROR(__xludf.DUMMYFUNCTION("IMPORTRANGE(""https://docs.google.com/spreadsheets/d/11923uPwbBZFjjGgGUA6NLw09EwE0CqkOc4q9oUmW1yo/edit?usp=sharing"",""ลำพูน!I347"")"),0)</f>
        <v>0</v>
      </c>
      <c r="J452" s="187">
        <f ca="1">IFERROR(__xludf.DUMMYFUNCTION("IMPORTRANGE(""https://docs.google.com/spreadsheets/d/11923uPwbBZFjjGgGUA6NLw09EwE0CqkOc4q9oUmW1yo/edit?usp=sharing"",""ลำพูน!J347"")"),0)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IFERROR(__xludf.DUMMYFUNCTION("IMPORTRANGE(""https://docs.google.com/spreadsheets/d/11923uPwbBZFjjGgGUA6NLw09EwE0CqkOc4q9oUmW1yo/edit?usp=sharing"",""ลำพูน!J348"")"),0)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IFERROR(__xludf.DUMMYFUNCTION("IMPORTRANGE(""https://docs.google.com/spreadsheets/d/11923uPwbBZFjjGgGUA6NLw09EwE0CqkOc4q9oUmW1yo/edit?usp=sharing"",""ลำพูน!J349"")"),0)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IFERROR(__xludf.DUMMYFUNCTION("IMPORTRANGE(""https://docs.google.com/spreadsheets/d/11923uPwbBZFjjGgGUA6NLw09EwE0CqkOc4q9oUmW1yo/edit?usp=sharing"",""ลำพูน!I350"")"),41345)</f>
        <v>41345</v>
      </c>
      <c r="J455" s="370">
        <f ca="1">IFERROR(__xludf.DUMMYFUNCTION("IMPORTRANGE(""https://docs.google.com/spreadsheets/d/11923uPwbBZFjjGgGUA6NLw09EwE0CqkOc4q9oUmW1yo/edit?usp=sharing"",""ลำพูน!J350"")"),41345)</f>
        <v>41345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IFERROR(__xludf.DUMMYFUNCTION("IMPORTRANGE(""https://docs.google.com/spreadsheets/d/11923uPwbBZFjjGgGUA6NLw09EwE0CqkOc4q9oUmW1yo/edit?usp=sharing"",""ลำพูน!L350"")"),452350)</f>
        <v>452350</v>
      </c>
      <c r="M455" s="372"/>
      <c r="N455" s="372">
        <f ca="1">IFERROR(__xludf.DUMMYFUNCTION("IMPORTRANGE(""https://docs.google.com/spreadsheets/d/11923uPwbBZFjjGgGUA6NLw09EwE0CqkOc4q9oUmW1yo/edit?usp=sharing"",""ลำพูน!M350"")"),295064)</f>
        <v>295064</v>
      </c>
      <c r="O455" s="372">
        <f t="shared" ref="O455:O459" ca="1" si="116">+IF(L455&gt;0,N455*100/L455,0)</f>
        <v>65.229136730407873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IFERROR(__xludf.DUMMYFUNCTION("IMPORTRANGE(""https://docs.google.com/spreadsheets/d/11923uPwbBZFjjGgGUA6NLw09EwE0CqkOc4q9oUmW1yo/edit?usp=sharing"",""ลำพูน!L351"")"),0)</f>
        <v>0</v>
      </c>
      <c r="M456" s="164"/>
      <c r="N456" s="168">
        <f ca="1">IFERROR(__xludf.DUMMYFUNCTION("IMPORTRANGE(""https://docs.google.com/spreadsheets/d/11923uPwbBZFjjGgGUA6NLw09EwE0CqkOc4q9oUmW1yo/edit?usp=sharing"",""ลำพูน!M351"")"),0)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IFERROR(__xludf.DUMMYFUNCTION("IMPORTRANGE(""https://docs.google.com/spreadsheets/d/11923uPwbBZFjjGgGUA6NLw09EwE0CqkOc4q9oUmW1yo/edit?usp=sharing"",""ลำพูน!L352"")"),452350)</f>
        <v>452350</v>
      </c>
      <c r="M457" s="165"/>
      <c r="N457" s="168">
        <f ca="1">IFERROR(__xludf.DUMMYFUNCTION("IMPORTRANGE(""https://docs.google.com/spreadsheets/d/11923uPwbBZFjjGgGUA6NLw09EwE0CqkOc4q9oUmW1yo/edit?usp=sharing"",""ลำพูน!M352"")"),295064)</f>
        <v>295064</v>
      </c>
      <c r="O457" s="168">
        <f t="shared" ca="1" si="116"/>
        <v>65.229136730407873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IFERROR(__xludf.DUMMYFUNCTION("IMPORTRANGE(""https://docs.google.com/spreadsheets/d/11923uPwbBZFjjGgGUA6NLw09EwE0CqkOc4q9oUmW1yo/edit?usp=sharing"",""ลำพูน!L353"")"),0)</f>
        <v>0</v>
      </c>
      <c r="M458" s="168"/>
      <c r="N458" s="168">
        <f ca="1">IFERROR(__xludf.DUMMYFUNCTION("IMPORTRANGE(""https://docs.google.com/spreadsheets/d/11923uPwbBZFjjGgGUA6NLw09EwE0CqkOc4q9oUmW1yo/edit?usp=sharing"",""ลำพูน!M353"")"),0)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IFERROR(__xludf.DUMMYFUNCTION("IMPORTRANGE(""https://docs.google.com/spreadsheets/d/11923uPwbBZFjjGgGUA6NLw09EwE0CqkOc4q9oUmW1yo/edit?usp=sharing"",""ลำพูน!L354"")"),452350)</f>
        <v>452350</v>
      </c>
      <c r="M459" s="168"/>
      <c r="N459" s="168">
        <f ca="1">IFERROR(__xludf.DUMMYFUNCTION("IMPORTRANGE(""https://docs.google.com/spreadsheets/d/11923uPwbBZFjjGgGUA6NLw09EwE0CqkOc4q9oUmW1yo/edit?usp=sharing"",""ลำพูน!M354"")"),295064)</f>
        <v>295064</v>
      </c>
      <c r="O459" s="168">
        <f t="shared" ca="1" si="116"/>
        <v>65.229136730407873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IFERROR(__xludf.DUMMYFUNCTION("IMPORTRANGE(""https://docs.google.com/spreadsheets/d/11923uPwbBZFjjGgGUA6NLw09EwE0CqkOc4q9oUmW1yo/edit?usp=sharing"",""ลำพูน!M355"")"),0)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IFERROR(__xludf.DUMMYFUNCTION("IMPORTRANGE(""https://docs.google.com/spreadsheets/d/11923uPwbBZFjjGgGUA6NLw09EwE0CqkOc4q9oUmW1yo/edit?usp=sharing"",""ลำพูน!M356"")"),0)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IFERROR(__xludf.DUMMYFUNCTION("IMPORTRANGE(""https://docs.google.com/spreadsheets/d/11923uPwbBZFjjGgGUA6NLw09EwE0CqkOc4q9oUmW1yo/edit?usp=sharing"",""ลำพูน!M357"")"),106839)</f>
        <v>106839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IFERROR(__xludf.DUMMYFUNCTION("IMPORTRANGE(""https://docs.google.com/spreadsheets/d/11923uPwbBZFjjGgGUA6NLw09EwE0CqkOc4q9oUmW1yo/edit?usp=sharing"",""ลำพูน!M358"")"),188225)</f>
        <v>188225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IFERROR(__xludf.DUMMYFUNCTION("IMPORTRANGE(""https://docs.google.com/spreadsheets/d/11923uPwbBZFjjGgGUA6NLw09EwE0CqkOc4q9oUmW1yo/edit?usp=sharing"",""ลำพูน!I359"")"),41345)</f>
        <v>41345</v>
      </c>
      <c r="J464" s="267">
        <f ca="1">IFERROR(__xludf.DUMMYFUNCTION("IMPORTRANGE(""https://docs.google.com/spreadsheets/d/11923uPwbBZFjjGgGUA6NLw09EwE0CqkOc4q9oUmW1yo/edit?usp=sharing"",""ลำพูน!J359"")"),41345)</f>
        <v>41345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IFERROR(__xludf.DUMMYFUNCTION("IMPORTRANGE(""https://docs.google.com/spreadsheets/d/11923uPwbBZFjjGgGUA6NLw09EwE0CqkOc4q9oUmW1yo/edit?usp=sharing"",""ลำพูน!I360"")"),41345)</f>
        <v>41345</v>
      </c>
      <c r="J465" s="420">
        <f ca="1">IFERROR(__xludf.DUMMYFUNCTION("IMPORTRANGE(""https://docs.google.com/spreadsheets/d/11923uPwbBZFjjGgGUA6NLw09EwE0CqkOc4q9oUmW1yo/edit?usp=sharing"",""ลำพูน!J360"")"),41345)</f>
        <v>41345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IFERROR(__xludf.DUMMYFUNCTION("IMPORTRANGE(""https://docs.google.com/spreadsheets/d/11923uPwbBZFjjGgGUA6NLw09EwE0CqkOc4q9oUmW1yo/edit?usp=sharing"",""ลำพูน!I361"")"),6424)</f>
        <v>6424</v>
      </c>
      <c r="J466" s="420">
        <f ca="1">IFERROR(__xludf.DUMMYFUNCTION("IMPORTRANGE(""https://docs.google.com/spreadsheets/d/11923uPwbBZFjjGgGUA6NLw09EwE0CqkOc4q9oUmW1yo/edit?usp=sharing"",""ลำพูน!J361"")"),6424)</f>
        <v>6424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IFERROR(__xludf.DUMMYFUNCTION("IMPORTRANGE(""https://docs.google.com/spreadsheets/d/11923uPwbBZFjjGgGUA6NLw09EwE0CqkOc4q9oUmW1yo/edit?usp=sharing"",""ลำพูน!I362"")"),0)</f>
        <v>0</v>
      </c>
      <c r="J467" s="188">
        <f ca="1">IFERROR(__xludf.DUMMYFUNCTION("IMPORTRANGE(""https://docs.google.com/spreadsheets/d/11923uPwbBZFjjGgGUA6NLw09EwE0CqkOc4q9oUmW1yo/edit?usp=sharing"",""ลำพูน!J362"")"),30456)</f>
        <v>30456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IFERROR(__xludf.DUMMYFUNCTION("IMPORTRANGE(""https://docs.google.com/spreadsheets/d/11923uPwbBZFjjGgGUA6NLw09EwE0CqkOc4q9oUmW1yo/edit?usp=sharing"",""ลำพูน!I363"")"),0)</f>
        <v>0</v>
      </c>
      <c r="J468" s="188">
        <f ca="1">IFERROR(__xludf.DUMMYFUNCTION("IMPORTRANGE(""https://docs.google.com/spreadsheets/d/11923uPwbBZFjjGgGUA6NLw09EwE0CqkOc4q9oUmW1yo/edit?usp=sharing"",""ลำพูน!J363"")"),4984)</f>
        <v>4984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IFERROR(__xludf.DUMMYFUNCTION("IMPORTRANGE(""https://docs.google.com/spreadsheets/d/11923uPwbBZFjjGgGUA6NLw09EwE0CqkOc4q9oUmW1yo/edit?usp=sharing"",""ลำพูน!I364"")"),0)</f>
        <v>0</v>
      </c>
      <c r="J469" s="188">
        <f ca="1">IFERROR(__xludf.DUMMYFUNCTION("IMPORTRANGE(""https://docs.google.com/spreadsheets/d/11923uPwbBZFjjGgGUA6NLw09EwE0CqkOc4q9oUmW1yo/edit?usp=sharing"",""ลำพูน!J364"")"),10287)</f>
        <v>10287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IFERROR(__xludf.DUMMYFUNCTION("IMPORTRANGE(""https://docs.google.com/spreadsheets/d/11923uPwbBZFjjGgGUA6NLw09EwE0CqkOc4q9oUmW1yo/edit?usp=sharing"",""ลำพูน!I365"")"),0)</f>
        <v>0</v>
      </c>
      <c r="J470" s="188">
        <f ca="1">IFERROR(__xludf.DUMMYFUNCTION("IMPORTRANGE(""https://docs.google.com/spreadsheets/d/11923uPwbBZFjjGgGUA6NLw09EwE0CqkOc4q9oUmW1yo/edit?usp=sharing"",""ลำพูน!J365"")"),1333)</f>
        <v>1333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IFERROR(__xludf.DUMMYFUNCTION("IMPORTRANGE(""https://docs.google.com/spreadsheets/d/11923uPwbBZFjjGgGUA6NLw09EwE0CqkOc4q9oUmW1yo/edit?usp=sharing"",""ลำพูน!I366"")"),0)</f>
        <v>0</v>
      </c>
      <c r="J471" s="188">
        <f ca="1">IFERROR(__xludf.DUMMYFUNCTION("IMPORTRANGE(""https://docs.google.com/spreadsheets/d/11923uPwbBZFjjGgGUA6NLw09EwE0CqkOc4q9oUmW1yo/edit?usp=sharing"",""ลำพูน!J366"")"),602)</f>
        <v>602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IFERROR(__xludf.DUMMYFUNCTION("IMPORTRANGE(""https://docs.google.com/spreadsheets/d/11923uPwbBZFjjGgGUA6NLw09EwE0CqkOc4q9oUmW1yo/edit?usp=sharing"",""ลำพูน!I367"")"),0)</f>
        <v>0</v>
      </c>
      <c r="J472" s="188">
        <f ca="1">IFERROR(__xludf.DUMMYFUNCTION("IMPORTRANGE(""https://docs.google.com/spreadsheets/d/11923uPwbBZFjjGgGUA6NLw09EwE0CqkOc4q9oUmW1yo/edit?usp=sharing"",""ลำพูน!J367"")"),107)</f>
        <v>107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IFERROR(__xludf.DUMMYFUNCTION("IMPORTRANGE(""https://docs.google.com/spreadsheets/d/11923uPwbBZFjjGgGUA6NLw09EwE0CqkOc4q9oUmW1yo/edit?usp=sharing"",""ลำพูน!I368"")"),41345)</f>
        <v>41345</v>
      </c>
      <c r="J473" s="420">
        <f ca="1">IFERROR(__xludf.DUMMYFUNCTION("IMPORTRANGE(""https://docs.google.com/spreadsheets/d/11923uPwbBZFjjGgGUA6NLw09EwE0CqkOc4q9oUmW1yo/edit?usp=sharing"",""ลำพูน!J368"")"),41345)</f>
        <v>41345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IFERROR(__xludf.DUMMYFUNCTION("IMPORTRANGE(""https://docs.google.com/spreadsheets/d/11923uPwbBZFjjGgGUA6NLw09EwE0CqkOc4q9oUmW1yo/edit?usp=sharing"",""ลำพูน!I369"")"),6424)</f>
        <v>6424</v>
      </c>
      <c r="J474" s="420">
        <f ca="1">IFERROR(__xludf.DUMMYFUNCTION("IMPORTRANGE(""https://docs.google.com/spreadsheets/d/11923uPwbBZFjjGgGUA6NLw09EwE0CqkOc4q9oUmW1yo/edit?usp=sharing"",""ลำพูน!J369"")"),6424)</f>
        <v>6424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IFERROR(__xludf.DUMMYFUNCTION("IMPORTRANGE(""https://docs.google.com/spreadsheets/d/11923uPwbBZFjjGgGUA6NLw09EwE0CqkOc4q9oUmW1yo/edit?usp=sharing"",""ลำพูน!I370"")"),0)</f>
        <v>0</v>
      </c>
      <c r="J475" s="188">
        <f ca="1">IFERROR(__xludf.DUMMYFUNCTION("IMPORTRANGE(""https://docs.google.com/spreadsheets/d/11923uPwbBZFjjGgGUA6NLw09EwE0CqkOc4q9oUmW1yo/edit?usp=sharing"",""ลำพูน!J370"")"),30456)</f>
        <v>30456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IFERROR(__xludf.DUMMYFUNCTION("IMPORTRANGE(""https://docs.google.com/spreadsheets/d/11923uPwbBZFjjGgGUA6NLw09EwE0CqkOc4q9oUmW1yo/edit?usp=sharing"",""ลำพูน!I371"")"),0)</f>
        <v>0</v>
      </c>
      <c r="J476" s="188">
        <f ca="1">IFERROR(__xludf.DUMMYFUNCTION("IMPORTRANGE(""https://docs.google.com/spreadsheets/d/11923uPwbBZFjjGgGUA6NLw09EwE0CqkOc4q9oUmW1yo/edit?usp=sharing"",""ลำพูน!J371"")"),4984)</f>
        <v>4984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IFERROR(__xludf.DUMMYFUNCTION("IMPORTRANGE(""https://docs.google.com/spreadsheets/d/11923uPwbBZFjjGgGUA6NLw09EwE0CqkOc4q9oUmW1yo/edit?usp=sharing"",""ลำพูน!I372"")"),0)</f>
        <v>0</v>
      </c>
      <c r="J477" s="188">
        <f ca="1">IFERROR(__xludf.DUMMYFUNCTION("IMPORTRANGE(""https://docs.google.com/spreadsheets/d/11923uPwbBZFjjGgGUA6NLw09EwE0CqkOc4q9oUmW1yo/edit?usp=sharing"",""ลำพูน!J372"")"),10287)</f>
        <v>10287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IFERROR(__xludf.DUMMYFUNCTION("IMPORTRANGE(""https://docs.google.com/spreadsheets/d/11923uPwbBZFjjGgGUA6NLw09EwE0CqkOc4q9oUmW1yo/edit?usp=sharing"",""ลำพูน!I373"")"),0)</f>
        <v>0</v>
      </c>
      <c r="J478" s="188">
        <f ca="1">IFERROR(__xludf.DUMMYFUNCTION("IMPORTRANGE(""https://docs.google.com/spreadsheets/d/11923uPwbBZFjjGgGUA6NLw09EwE0CqkOc4q9oUmW1yo/edit?usp=sharing"",""ลำพูน!J373"")"),1333)</f>
        <v>1333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IFERROR(__xludf.DUMMYFUNCTION("IMPORTRANGE(""https://docs.google.com/spreadsheets/d/11923uPwbBZFjjGgGUA6NLw09EwE0CqkOc4q9oUmW1yo/edit?usp=sharing"",""ลำพูน!I374"")"),0)</f>
        <v>0</v>
      </c>
      <c r="J479" s="188">
        <f ca="1">IFERROR(__xludf.DUMMYFUNCTION("IMPORTRANGE(""https://docs.google.com/spreadsheets/d/11923uPwbBZFjjGgGUA6NLw09EwE0CqkOc4q9oUmW1yo/edit?usp=sharing"",""ลำพูน!J374"")"),602)</f>
        <v>602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IFERROR(__xludf.DUMMYFUNCTION("IMPORTRANGE(""https://docs.google.com/spreadsheets/d/11923uPwbBZFjjGgGUA6NLw09EwE0CqkOc4q9oUmW1yo/edit?usp=sharing"",""ลำพูน!I375"")"),0)</f>
        <v>0</v>
      </c>
      <c r="J480" s="188">
        <f ca="1">IFERROR(__xludf.DUMMYFUNCTION("IMPORTRANGE(""https://docs.google.com/spreadsheets/d/11923uPwbBZFjjGgGUA6NLw09EwE0CqkOc4q9oUmW1yo/edit?usp=sharing"",""ลำพูน!J375"")"),107)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IFERROR(__xludf.DUMMYFUNCTION("IMPORTRANGE(""https://docs.google.com/spreadsheets/d/11923uPwbBZFjjGgGUA6NLw09EwE0CqkOc4q9oUmW1yo/edit?usp=sharing"",""ลำพูน!I376"")"),41345)</f>
        <v>41345</v>
      </c>
      <c r="J481" s="420">
        <f ca="1">IFERROR(__xludf.DUMMYFUNCTION("IMPORTRANGE(""https://docs.google.com/spreadsheets/d/11923uPwbBZFjjGgGUA6NLw09EwE0CqkOc4q9oUmW1yo/edit?usp=sharing"",""ลำพูน!J376"")"),41345)</f>
        <v>41345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IFERROR(__xludf.DUMMYFUNCTION("IMPORTRANGE(""https://docs.google.com/spreadsheets/d/11923uPwbBZFjjGgGUA6NLw09EwE0CqkOc4q9oUmW1yo/edit?usp=sharing"",""ลำพูน!I377"")"),6424)</f>
        <v>6424</v>
      </c>
      <c r="J482" s="420">
        <f ca="1">IFERROR(__xludf.DUMMYFUNCTION("IMPORTRANGE(""https://docs.google.com/spreadsheets/d/11923uPwbBZFjjGgGUA6NLw09EwE0CqkOc4q9oUmW1yo/edit?usp=sharing"",""ลำพูน!J377"")"),6424)</f>
        <v>6424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IFERROR(__xludf.DUMMYFUNCTION("IMPORTRANGE(""https://docs.google.com/spreadsheets/d/11923uPwbBZFjjGgGUA6NLw09EwE0CqkOc4q9oUmW1yo/edit?usp=sharing"",""ลำพูน!I378"")"),0)</f>
        <v>0</v>
      </c>
      <c r="J483" s="188">
        <f ca="1">IFERROR(__xludf.DUMMYFUNCTION("IMPORTRANGE(""https://docs.google.com/spreadsheets/d/11923uPwbBZFjjGgGUA6NLw09EwE0CqkOc4q9oUmW1yo/edit?usp=sharing"",""ลำพูน!J378"")"),39485)</f>
        <v>39485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IFERROR(__xludf.DUMMYFUNCTION("IMPORTRANGE(""https://docs.google.com/spreadsheets/d/11923uPwbBZFjjGgGUA6NLw09EwE0CqkOc4q9oUmW1yo/edit?usp=sharing"",""ลำพูน!I379"")"),0)</f>
        <v>0</v>
      </c>
      <c r="J484" s="188">
        <f ca="1">IFERROR(__xludf.DUMMYFUNCTION("IMPORTRANGE(""https://docs.google.com/spreadsheets/d/11923uPwbBZFjjGgGUA6NLw09EwE0CqkOc4q9oUmW1yo/edit?usp=sharing"",""ลำพูน!J379"")"),5911)</f>
        <v>5911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IFERROR(__xludf.DUMMYFUNCTION("IMPORTRANGE(""https://docs.google.com/spreadsheets/d/11923uPwbBZFjjGgGUA6NLw09EwE0CqkOc4q9oUmW1yo/edit?usp=sharing"",""ลำพูน!I380"")"),0)</f>
        <v>0</v>
      </c>
      <c r="J485" s="188">
        <f ca="1">IFERROR(__xludf.DUMMYFUNCTION("IMPORTRANGE(""https://docs.google.com/spreadsheets/d/11923uPwbBZFjjGgGUA6NLw09EwE0CqkOc4q9oUmW1yo/edit?usp=sharing"",""ลำพูน!J380"")"),0)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IFERROR(__xludf.DUMMYFUNCTION("IMPORTRANGE(""https://docs.google.com/spreadsheets/d/11923uPwbBZFjjGgGUA6NLw09EwE0CqkOc4q9oUmW1yo/edit?usp=sharing"",""ลำพูน!I381"")"),0)</f>
        <v>0</v>
      </c>
      <c r="J486" s="188">
        <f ca="1">IFERROR(__xludf.DUMMYFUNCTION("IMPORTRANGE(""https://docs.google.com/spreadsheets/d/11923uPwbBZFjjGgGUA6NLw09EwE0CqkOc4q9oUmW1yo/edit?usp=sharing"",""ลำพูน!J381"")"),0)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IFERROR(__xludf.DUMMYFUNCTION("IMPORTRANGE(""https://docs.google.com/spreadsheets/d/11923uPwbBZFjjGgGUA6NLw09EwE0CqkOc4q9oUmW1yo/edit?usp=sharing"",""ลำพูน!I382"")"),0)</f>
        <v>0</v>
      </c>
      <c r="J487" s="420">
        <f ca="1">IFERROR(__xludf.DUMMYFUNCTION("IMPORTRANGE(""https://docs.google.com/spreadsheets/d/11923uPwbBZFjjGgGUA6NLw09EwE0CqkOc4q9oUmW1yo/edit?usp=sharing"",""ลำพูน!J382"")"),604)</f>
        <v>604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IFERROR(__xludf.DUMMYFUNCTION("IMPORTRANGE(""https://docs.google.com/spreadsheets/d/11923uPwbBZFjjGgGUA6NLw09EwE0CqkOc4q9oUmW1yo/edit?usp=sharing"",""ลำพูน!I383"")"),0)</f>
        <v>0</v>
      </c>
      <c r="J488" s="420">
        <f ca="1">IFERROR(__xludf.DUMMYFUNCTION("IMPORTRANGE(""https://docs.google.com/spreadsheets/d/11923uPwbBZFjjGgGUA6NLw09EwE0CqkOc4q9oUmW1yo/edit?usp=sharing"",""ลำพูน!J383"")"),107)</f>
        <v>107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IFERROR(__xludf.DUMMYFUNCTION("IMPORTRANGE(""https://docs.google.com/spreadsheets/d/11923uPwbBZFjjGgGUA6NLw09EwE0CqkOc4q9oUmW1yo/edit?usp=sharing"",""ลำพูน!I384"")"),0)</f>
        <v>0</v>
      </c>
      <c r="J489" s="188">
        <f ca="1">IFERROR(__xludf.DUMMYFUNCTION("IMPORTRANGE(""https://docs.google.com/spreadsheets/d/11923uPwbBZFjjGgGUA6NLw09EwE0CqkOc4q9oUmW1yo/edit?usp=sharing"",""ลำพูน!J384"")"),576)</f>
        <v>576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IFERROR(__xludf.DUMMYFUNCTION("IMPORTRANGE(""https://docs.google.com/spreadsheets/d/11923uPwbBZFjjGgGUA6NLw09EwE0CqkOc4q9oUmW1yo/edit?usp=sharing"",""ลำพูน!I385"")"),0)</f>
        <v>0</v>
      </c>
      <c r="J490" s="188">
        <f ca="1">IFERROR(__xludf.DUMMYFUNCTION("IMPORTRANGE(""https://docs.google.com/spreadsheets/d/11923uPwbBZFjjGgGUA6NLw09EwE0CqkOc4q9oUmW1yo/edit?usp=sharing"",""ลำพูน!J385"")"),100)</f>
        <v>100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IFERROR(__xludf.DUMMYFUNCTION("IMPORTRANGE(""https://docs.google.com/spreadsheets/d/11923uPwbBZFjjGgGUA6NLw09EwE0CqkOc4q9oUmW1yo/edit?usp=sharing"",""ลำพูน!I386"")"),0)</f>
        <v>0</v>
      </c>
      <c r="J491" s="188">
        <f ca="1">IFERROR(__xludf.DUMMYFUNCTION("IMPORTRANGE(""https://docs.google.com/spreadsheets/d/11923uPwbBZFjjGgGUA6NLw09EwE0CqkOc4q9oUmW1yo/edit?usp=sharing"",""ลำพูน!J386"")"),28)</f>
        <v>28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IFERROR(__xludf.DUMMYFUNCTION("IMPORTRANGE(""https://docs.google.com/spreadsheets/d/11923uPwbBZFjjGgGUA6NLw09EwE0CqkOc4q9oUmW1yo/edit?usp=sharing"",""ลำพูน!I387"")"),0)</f>
        <v>0</v>
      </c>
      <c r="J492" s="188">
        <f ca="1">IFERROR(__xludf.DUMMYFUNCTION("IMPORTRANGE(""https://docs.google.com/spreadsheets/d/11923uPwbBZFjjGgGUA6NLw09EwE0CqkOc4q9oUmW1yo/edit?usp=sharing"",""ลำพูน!J387"")"),7)</f>
        <v>7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IFERROR(__xludf.DUMMYFUNCTION("IMPORTRANGE(""https://docs.google.com/spreadsheets/d/11923uPwbBZFjjGgGUA6NLw09EwE0CqkOc4q9oUmW1yo/edit?usp=sharing"",""ลำพูน!I388"")"),0)</f>
        <v>0</v>
      </c>
      <c r="J493" s="188">
        <f ca="1">IFERROR(__xludf.DUMMYFUNCTION("IMPORTRANGE(""https://docs.google.com/spreadsheets/d/11923uPwbBZFjjGgGUA6NLw09EwE0CqkOc4q9oUmW1yo/edit?usp=sharing"",""ลำพูน!J388"")"),1256)</f>
        <v>1256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IFERROR(__xludf.DUMMYFUNCTION("IMPORTRANGE(""https://docs.google.com/spreadsheets/d/11923uPwbBZFjjGgGUA6NLw09EwE0CqkOc4q9oUmW1yo/edit?usp=sharing"",""ลำพูน!I389"")"),0)</f>
        <v>0</v>
      </c>
      <c r="J494" s="436">
        <f ca="1">IFERROR(__xludf.DUMMYFUNCTION("IMPORTRANGE(""https://docs.google.com/spreadsheets/d/11923uPwbBZFjjGgGUA6NLw09EwE0CqkOc4q9oUmW1yo/edit?usp=sharing"",""ลำพูน!J389"")"),406)</f>
        <v>406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IFERROR(__xludf.DUMMYFUNCTION("IMPORTRANGE(""https://docs.google.com/spreadsheets/d/11923uPwbBZFjjGgGUA6NLw09EwE0CqkOc4q9oUmW1yo/edit?usp=sharing"",""ลำพูน!I390"")"),0)</f>
        <v>0</v>
      </c>
      <c r="J495" s="436">
        <f ca="1">IFERROR(__xludf.DUMMYFUNCTION("IMPORTRANGE(""https://docs.google.com/spreadsheets/d/11923uPwbBZFjjGgGUA6NLw09EwE0CqkOc4q9oUmW1yo/edit?usp=sharing"",""ลำพูน!J390"")"),0)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IFERROR(__xludf.DUMMYFUNCTION("IMPORTRANGE(""https://docs.google.com/spreadsheets/d/11923uPwbBZFjjGgGUA6NLw09EwE0CqkOc4q9oUmW1yo/edit?usp=sharing"",""ลำพูน!I391"")"),0)</f>
        <v>0</v>
      </c>
      <c r="J496" s="436">
        <f ca="1">IFERROR(__xludf.DUMMYFUNCTION("IMPORTRANGE(""https://docs.google.com/spreadsheets/d/11923uPwbBZFjjGgGUA6NLw09EwE0CqkOc4q9oUmW1yo/edit?usp=sharing"",""ลำพูน!J391"")"),0)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IFERROR(__xludf.DUMMYFUNCTION("IMPORTRANGE(""https://docs.google.com/spreadsheets/d/11923uPwbBZFjjGgGUA6NLw09EwE0CqkOc4q9oUmW1yo/edit?usp=sharing"",""ลำพูน!I392"")"),138)</f>
        <v>138</v>
      </c>
      <c r="J497" s="443">
        <f ca="1">IFERROR(__xludf.DUMMYFUNCTION("IMPORTRANGE(""https://docs.google.com/spreadsheets/d/11923uPwbBZFjjGgGUA6NLw09EwE0CqkOc4q9oUmW1yo/edit?usp=sharing"",""ลำพูน!J392"")"),138)</f>
        <v>138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IFERROR(__xludf.DUMMYFUNCTION("IMPORTRANGE(""https://docs.google.com/spreadsheets/d/11923uPwbBZFjjGgGUA6NLw09EwE0CqkOc4q9oUmW1yo/edit?usp=sharing"",""ลำพูน!I393"")"),138)</f>
        <v>138</v>
      </c>
      <c r="J498" s="420">
        <f ca="1">IFERROR(__xludf.DUMMYFUNCTION("IMPORTRANGE(""https://docs.google.com/spreadsheets/d/11923uPwbBZFjjGgGUA6NLw09EwE0CqkOc4q9oUmW1yo/edit?usp=sharing"",""ลำพูน!J393"")"),138)</f>
        <v>138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IFERROR(__xludf.DUMMYFUNCTION("IMPORTRANGE(""https://docs.google.com/spreadsheets/d/11923uPwbBZFjjGgGUA6NLw09EwE0CqkOc4q9oUmW1yo/edit?usp=sharing"",""ลำพูน!I394"")"),17)</f>
        <v>17</v>
      </c>
      <c r="J499" s="420">
        <f ca="1">IFERROR(__xludf.DUMMYFUNCTION("IMPORTRANGE(""https://docs.google.com/spreadsheets/d/11923uPwbBZFjjGgGUA6NLw09EwE0CqkOc4q9oUmW1yo/edit?usp=sharing"",""ลำพูน!J394"")"),17)</f>
        <v>17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IFERROR(__xludf.DUMMYFUNCTION("IMPORTRANGE(""https://docs.google.com/spreadsheets/d/11923uPwbBZFjjGgGUA6NLw09EwE0CqkOc4q9oUmW1yo/edit?usp=sharing"",""ลำพูน!I395"")"),0)</f>
        <v>0</v>
      </c>
      <c r="J500" s="162">
        <f ca="1">IFERROR(__xludf.DUMMYFUNCTION("IMPORTRANGE(""https://docs.google.com/spreadsheets/d/11923uPwbBZFjjGgGUA6NLw09EwE0CqkOc4q9oUmW1yo/edit?usp=sharing"",""ลำพูน!J395"")"),138)</f>
        <v>138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IFERROR(__xludf.DUMMYFUNCTION("IMPORTRANGE(""https://docs.google.com/spreadsheets/d/11923uPwbBZFjjGgGUA6NLw09EwE0CqkOc4q9oUmW1yo/edit?usp=sharing"",""ลำพูน!I396"")"),0)</f>
        <v>0</v>
      </c>
      <c r="J501" s="162">
        <f ca="1">IFERROR(__xludf.DUMMYFUNCTION("IMPORTRANGE(""https://docs.google.com/spreadsheets/d/11923uPwbBZFjjGgGUA6NLw09EwE0CqkOc4q9oUmW1yo/edit?usp=sharing"",""ลำพูน!J396"")"),17)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IFERROR(__xludf.DUMMYFUNCTION("IMPORTRANGE(""https://docs.google.com/spreadsheets/d/11923uPwbBZFjjGgGUA6NLw09EwE0CqkOc4q9oUmW1yo/edit?usp=sharing"",""ลำพูน!I397"")"),0)</f>
        <v>0</v>
      </c>
      <c r="J502" s="188">
        <f ca="1">IFERROR(__xludf.DUMMYFUNCTION("IMPORTRANGE(""https://docs.google.com/spreadsheets/d/11923uPwbBZFjjGgGUA6NLw09EwE0CqkOc4q9oUmW1yo/edit?usp=sharing"",""ลำพูน!J397"")"),138)</f>
        <v>138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IFERROR(__xludf.DUMMYFUNCTION("IMPORTRANGE(""https://docs.google.com/spreadsheets/d/11923uPwbBZFjjGgGUA6NLw09EwE0CqkOc4q9oUmW1yo/edit?usp=sharing"",""ลำพูน!I398"")"),0)</f>
        <v>0</v>
      </c>
      <c r="J503" s="197">
        <f ca="1">IFERROR(__xludf.DUMMYFUNCTION("IMPORTRANGE(""https://docs.google.com/spreadsheets/d/11923uPwbBZFjjGgGUA6NLw09EwE0CqkOc4q9oUmW1yo/edit?usp=sharing"",""ลำพูน!J398"")"),17)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IFERROR(__xludf.DUMMYFUNCTION("IMPORTRANGE(""https://docs.google.com/spreadsheets/d/11923uPwbBZFjjGgGUA6NLw09EwE0CqkOc4q9oUmW1yo/edit?usp=sharing"",""ลำพูน!I399"")"),0)</f>
        <v>0</v>
      </c>
      <c r="J504" s="188">
        <f ca="1">IFERROR(__xludf.DUMMYFUNCTION("IMPORTRANGE(""https://docs.google.com/spreadsheets/d/11923uPwbBZFjjGgGUA6NLw09EwE0CqkOc4q9oUmW1yo/edit?usp=sharing"",""ลำพูน!J399"")"),0)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IFERROR(__xludf.DUMMYFUNCTION("IMPORTRANGE(""https://docs.google.com/spreadsheets/d/11923uPwbBZFjjGgGUA6NLw09EwE0CqkOc4q9oUmW1yo/edit?usp=sharing"",""ลำพูน!I400"")"),0)</f>
        <v>0</v>
      </c>
      <c r="J505" s="197">
        <f ca="1">IFERROR(__xludf.DUMMYFUNCTION("IMPORTRANGE(""https://docs.google.com/spreadsheets/d/11923uPwbBZFjjGgGUA6NLw09EwE0CqkOc4q9oUmW1yo/edit?usp=sharing"",""ลำพูน!J400"")"),0)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IFERROR(__xludf.DUMMYFUNCTION("IMPORTRANGE(""https://docs.google.com/spreadsheets/d/11923uPwbBZFjjGgGUA6NLw09EwE0CqkOc4q9oUmW1yo/edit?usp=sharing"",""ลำพูน!I401"")"),0)</f>
        <v>0</v>
      </c>
      <c r="J506" s="188">
        <f ca="1">IFERROR(__xludf.DUMMYFUNCTION("IMPORTRANGE(""https://docs.google.com/spreadsheets/d/11923uPwbBZFjjGgGUA6NLw09EwE0CqkOc4q9oUmW1yo/edit?usp=sharing"",""ลำพูน!J401"")"),0)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IFERROR(__xludf.DUMMYFUNCTION("IMPORTRANGE(""https://docs.google.com/spreadsheets/d/11923uPwbBZFjjGgGUA6NLw09EwE0CqkOc4q9oUmW1yo/edit?usp=sharing"",""ลำพูน!I402"")"),0)</f>
        <v>0</v>
      </c>
      <c r="J507" s="197">
        <f ca="1">IFERROR(__xludf.DUMMYFUNCTION("IMPORTRANGE(""https://docs.google.com/spreadsheets/d/11923uPwbBZFjjGgGUA6NLw09EwE0CqkOc4q9oUmW1yo/edit?usp=sharing"",""ลำพูน!J402"")"),0)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IFERROR(__xludf.DUMMYFUNCTION("IMPORTRANGE(""https://docs.google.com/spreadsheets/d/11923uPwbBZFjjGgGUA6NLw09EwE0CqkOc4q9oUmW1yo/edit?usp=sharing"",""ลำพูน!I403"")"),0)</f>
        <v>0</v>
      </c>
      <c r="J508" s="162">
        <f ca="1">IFERROR(__xludf.DUMMYFUNCTION("IMPORTRANGE(""https://docs.google.com/spreadsheets/d/11923uPwbBZFjjGgGUA6NLw09EwE0CqkOc4q9oUmW1yo/edit?usp=sharing"",""ลำพูน!J403"")"),0)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IFERROR(__xludf.DUMMYFUNCTION("IMPORTRANGE(""https://docs.google.com/spreadsheets/d/11923uPwbBZFjjGgGUA6NLw09EwE0CqkOc4q9oUmW1yo/edit?usp=sharing"",""ลำพูน!I404"")"),0)</f>
        <v>0</v>
      </c>
      <c r="J509" s="162">
        <f ca="1">IFERROR(__xludf.DUMMYFUNCTION("IMPORTRANGE(""https://docs.google.com/spreadsheets/d/11923uPwbBZFjjGgGUA6NLw09EwE0CqkOc4q9oUmW1yo/edit?usp=sharing"",""ลำพูน!J404"")"),0)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IFERROR(__xludf.DUMMYFUNCTION("IMPORTRANGE(""https://docs.google.com/spreadsheets/d/11923uPwbBZFjjGgGUA6NLw09EwE0CqkOc4q9oUmW1yo/edit?usp=sharing"",""ลำพูน!I405"")"),0)</f>
        <v>0</v>
      </c>
      <c r="J510" s="197">
        <f ca="1">IFERROR(__xludf.DUMMYFUNCTION("IMPORTRANGE(""https://docs.google.com/spreadsheets/d/11923uPwbBZFjjGgGUA6NLw09EwE0CqkOc4q9oUmW1yo/edit?usp=sharing"",""ลำพูน!J405"")"),0)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IFERROR(__xludf.DUMMYFUNCTION("IMPORTRANGE(""https://docs.google.com/spreadsheets/d/11923uPwbBZFjjGgGUA6NLw09EwE0CqkOc4q9oUmW1yo/edit?usp=sharing"",""ลำพูน!I406"")"),0)</f>
        <v>0</v>
      </c>
      <c r="J511" s="197">
        <f ca="1">IFERROR(__xludf.DUMMYFUNCTION("IMPORTRANGE(""https://docs.google.com/spreadsheets/d/11923uPwbBZFjjGgGUA6NLw09EwE0CqkOc4q9oUmW1yo/edit?usp=sharing"",""ลำพูน!J406"")"),0)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IFERROR(__xludf.DUMMYFUNCTION("IMPORTRANGE(""https://docs.google.com/spreadsheets/d/11923uPwbBZFjjGgGUA6NLw09EwE0CqkOc4q9oUmW1yo/edit?usp=sharing"",""ลำพูน!I407"")"),0)</f>
        <v>0</v>
      </c>
      <c r="J512" s="197">
        <f ca="1">IFERROR(__xludf.DUMMYFUNCTION("IMPORTRANGE(""https://docs.google.com/spreadsheets/d/11923uPwbBZFjjGgGUA6NLw09EwE0CqkOc4q9oUmW1yo/edit?usp=sharing"",""ลำพูน!J407"")"),0)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IFERROR(__xludf.DUMMYFUNCTION("IMPORTRANGE(""https://docs.google.com/spreadsheets/d/11923uPwbBZFjjGgGUA6NLw09EwE0CqkOc4q9oUmW1yo/edit?usp=sharing"",""ลำพูน!I408"")"),0)</f>
        <v>0</v>
      </c>
      <c r="J513" s="197">
        <f ca="1">IFERROR(__xludf.DUMMYFUNCTION("IMPORTRANGE(""https://docs.google.com/spreadsheets/d/11923uPwbBZFjjGgGUA6NLw09EwE0CqkOc4q9oUmW1yo/edit?usp=sharing"",""ลำพูน!J408"")"),0)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IFERROR(__xludf.DUMMYFUNCTION("IMPORTRANGE(""https://docs.google.com/spreadsheets/d/11923uPwbBZFjjGgGUA6NLw09EwE0CqkOc4q9oUmW1yo/edit?usp=sharing"",""ลำพูน!I409"")"),0)</f>
        <v>0</v>
      </c>
      <c r="J514" s="197">
        <f ca="1">IFERROR(__xludf.DUMMYFUNCTION("IMPORTRANGE(""https://docs.google.com/spreadsheets/d/11923uPwbBZFjjGgGUA6NLw09EwE0CqkOc4q9oUmW1yo/edit?usp=sharing"",""ลำพูน!J409"")"),0)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IFERROR(__xludf.DUMMYFUNCTION("IMPORTRANGE(""https://docs.google.com/spreadsheets/d/11923uPwbBZFjjGgGUA6NLw09EwE0CqkOc4q9oUmW1yo/edit?usp=sharing"",""ลำพูน!I410"")"),0)</f>
        <v>0</v>
      </c>
      <c r="J515" s="197">
        <f ca="1">IFERROR(__xludf.DUMMYFUNCTION("IMPORTRANGE(""https://docs.google.com/spreadsheets/d/11923uPwbBZFjjGgGUA6NLw09EwE0CqkOc4q9oUmW1yo/edit?usp=sharing"",""ลำพูน!J410"")"),0)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IFERROR(__xludf.DUMMYFUNCTION("IMPORTRANGE(""https://docs.google.com/spreadsheets/d/11923uPwbBZFjjGgGUA6NLw09EwE0CqkOc4q9oUmW1yo/edit?usp=sharing"",""ลำพูน!I411"")"),0)</f>
        <v>0</v>
      </c>
      <c r="J516" s="267">
        <f ca="1">IFERROR(__xludf.DUMMYFUNCTION("IMPORTRANGE(""https://docs.google.com/spreadsheets/d/11923uPwbBZFjjGgGUA6NLw09EwE0CqkOc4q9oUmW1yo/edit?usp=sharing"",""ลำพูน!J411"")"),0)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IFERROR(__xludf.DUMMYFUNCTION("IMPORTRANGE(""https://docs.google.com/spreadsheets/d/11923uPwbBZFjjGgGUA6NLw09EwE0CqkOc4q9oUmW1yo/edit?usp=sharing"",""ลำพูน!I412"")"),0)</f>
        <v>0</v>
      </c>
      <c r="J517" s="284">
        <f ca="1">IFERROR(__xludf.DUMMYFUNCTION("IMPORTRANGE(""https://docs.google.com/spreadsheets/d/11923uPwbBZFjjGgGUA6NLw09EwE0CqkOc4q9oUmW1yo/edit?usp=sharing"",""ลำพูน!J412"")"),0)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IFERROR(__xludf.DUMMYFUNCTION("IMPORTRANGE(""https://docs.google.com/spreadsheets/d/11923uPwbBZFjjGgGUA6NLw09EwE0CqkOc4q9oUmW1yo/edit?usp=sharing"",""ลำพูน!I413"")"),0)</f>
        <v>0</v>
      </c>
      <c r="J518" s="284">
        <f ca="1">IFERROR(__xludf.DUMMYFUNCTION("IMPORTRANGE(""https://docs.google.com/spreadsheets/d/11923uPwbBZFjjGgGUA6NLw09EwE0CqkOc4q9oUmW1yo/edit?usp=sharing"",""ลำพูน!J413"")"),0)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IFERROR(__xludf.DUMMYFUNCTION("IMPORTRANGE(""https://docs.google.com/spreadsheets/d/11923uPwbBZFjjGgGUA6NLw09EwE0CqkOc4q9oUmW1yo/edit?usp=sharing"",""ลำพูน!I414"")"),0)</f>
        <v>0</v>
      </c>
      <c r="J519" s="187">
        <f ca="1">IFERROR(__xludf.DUMMYFUNCTION("IMPORTRANGE(""https://docs.google.com/spreadsheets/d/11923uPwbBZFjjGgGUA6NLw09EwE0CqkOc4q9oUmW1yo/edit?usp=sharing"",""ลำพูน!J414"")"),0)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IFERROR(__xludf.DUMMYFUNCTION("IMPORTRANGE(""https://docs.google.com/spreadsheets/d/11923uPwbBZFjjGgGUA6NLw09EwE0CqkOc4q9oUmW1yo/edit?usp=sharing"",""ลำพูน!I415"")"),0)</f>
        <v>0</v>
      </c>
      <c r="J520" s="187">
        <f ca="1">IFERROR(__xludf.DUMMYFUNCTION("IMPORTRANGE(""https://docs.google.com/spreadsheets/d/11923uPwbBZFjjGgGUA6NLw09EwE0CqkOc4q9oUmW1yo/edit?usp=sharing"",""ลำพูน!J415"")"),0)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IFERROR(__xludf.DUMMYFUNCTION("IMPORTRANGE(""https://docs.google.com/spreadsheets/d/11923uPwbBZFjjGgGUA6NLw09EwE0CqkOc4q9oUmW1yo/edit?usp=sharing"",""ลำพูน!I416"")"),0)</f>
        <v>0</v>
      </c>
      <c r="J521" s="187">
        <f ca="1">IFERROR(__xludf.DUMMYFUNCTION("IMPORTRANGE(""https://docs.google.com/spreadsheets/d/11923uPwbBZFjjGgGUA6NLw09EwE0CqkOc4q9oUmW1yo/edit?usp=sharing"",""ลำพูน!J416"")"),0)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IFERROR(__xludf.DUMMYFUNCTION("IMPORTRANGE(""https://docs.google.com/spreadsheets/d/11923uPwbBZFjjGgGUA6NLw09EwE0CqkOc4q9oUmW1yo/edit?usp=sharing"",""ลำพูน!I417"")"),0)</f>
        <v>0</v>
      </c>
      <c r="J522" s="187">
        <f ca="1">IFERROR(__xludf.DUMMYFUNCTION("IMPORTRANGE(""https://docs.google.com/spreadsheets/d/11923uPwbBZFjjGgGUA6NLw09EwE0CqkOc4q9oUmW1yo/edit?usp=sharing"",""ลำพูน!J417"")"),0)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IFERROR(__xludf.DUMMYFUNCTION("IMPORTRANGE(""https://docs.google.com/spreadsheets/d/11923uPwbBZFjjGgGUA6NLw09EwE0CqkOc4q9oUmW1yo/edit?usp=sharing"",""ลำพูน!I418"")"),0)</f>
        <v>0</v>
      </c>
      <c r="J523" s="187">
        <f ca="1">IFERROR(__xludf.DUMMYFUNCTION("IMPORTRANGE(""https://docs.google.com/spreadsheets/d/11923uPwbBZFjjGgGUA6NLw09EwE0CqkOc4q9oUmW1yo/edit?usp=sharing"",""ลำพูน!J418"")"),157)</f>
        <v>157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IFERROR(__xludf.DUMMYFUNCTION("IMPORTRANGE(""https://docs.google.com/spreadsheets/d/11923uPwbBZFjjGgGUA6NLw09EwE0CqkOc4q9oUmW1yo/edit?usp=sharing"",""ลำพูน!I419"")"),0)</f>
        <v>0</v>
      </c>
      <c r="J524" s="187">
        <f ca="1">IFERROR(__xludf.DUMMYFUNCTION("IMPORTRANGE(""https://docs.google.com/spreadsheets/d/11923uPwbBZFjjGgGUA6NLw09EwE0CqkOc4q9oUmW1yo/edit?usp=sharing"",""ลำพูน!J419"")"),18)</f>
        <v>18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IFERROR(__xludf.DUMMYFUNCTION("IMPORTRANGE(""https://docs.google.com/spreadsheets/d/11923uPwbBZFjjGgGUA6NLw09EwE0CqkOc4q9oUmW1yo/edit?usp=sharing"",""ลำพูน!I420"")"),157)</f>
        <v>157</v>
      </c>
      <c r="J525" s="284">
        <f ca="1">IFERROR(__xludf.DUMMYFUNCTION("IMPORTRANGE(""https://docs.google.com/spreadsheets/d/11923uPwbBZFjjGgGUA6NLw09EwE0CqkOc4q9oUmW1yo/edit?usp=sharing"",""ลำพูน!J420"")"),157)</f>
        <v>157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IFERROR(__xludf.DUMMYFUNCTION("IMPORTRANGE(""https://docs.google.com/spreadsheets/d/11923uPwbBZFjjGgGUA6NLw09EwE0CqkOc4q9oUmW1yo/edit?usp=sharing"",""ลำพูน!I421"")"),18)</f>
        <v>18</v>
      </c>
      <c r="J526" s="284">
        <f ca="1">IFERROR(__xludf.DUMMYFUNCTION("IMPORTRANGE(""https://docs.google.com/spreadsheets/d/11923uPwbBZFjjGgGUA6NLw09EwE0CqkOc4q9oUmW1yo/edit?usp=sharing"",""ลำพูน!J421"")"),18)</f>
        <v>18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IFERROR(__xludf.DUMMYFUNCTION("IMPORTRANGE(""https://docs.google.com/spreadsheets/d/11923uPwbBZFjjGgGUA6NLw09EwE0CqkOc4q9oUmW1yo/edit?usp=sharing"",""ลำพูน!I422"")"),0)</f>
        <v>0</v>
      </c>
      <c r="J527" s="197">
        <f ca="1">IFERROR(__xludf.DUMMYFUNCTION("IMPORTRANGE(""https://docs.google.com/spreadsheets/d/11923uPwbBZFjjGgGUA6NLw09EwE0CqkOc4q9oUmW1yo/edit?usp=sharing"",""ลำพูน!J422"")"),19)</f>
        <v>19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IFERROR(__xludf.DUMMYFUNCTION("IMPORTRANGE(""https://docs.google.com/spreadsheets/d/11923uPwbBZFjjGgGUA6NLw09EwE0CqkOc4q9oUmW1yo/edit?usp=sharing"",""ลำพูน!I423"")"),0)</f>
        <v>0</v>
      </c>
      <c r="J528" s="197">
        <f ca="1">IFERROR(__xludf.DUMMYFUNCTION("IMPORTRANGE(""https://docs.google.com/spreadsheets/d/11923uPwbBZFjjGgGUA6NLw09EwE0CqkOc4q9oUmW1yo/edit?usp=sharing"",""ลำพูน!J423"")"),2)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IFERROR(__xludf.DUMMYFUNCTION("IMPORTRANGE(""https://docs.google.com/spreadsheets/d/11923uPwbBZFjjGgGUA6NLw09EwE0CqkOc4q9oUmW1yo/edit?usp=sharing"",""ลำพูน!I424"")"),0)</f>
        <v>0</v>
      </c>
      <c r="J529" s="197">
        <f ca="1">IFERROR(__xludf.DUMMYFUNCTION("IMPORTRANGE(""https://docs.google.com/spreadsheets/d/11923uPwbBZFjjGgGUA6NLw09EwE0CqkOc4q9oUmW1yo/edit?usp=sharing"",""ลำพูน!J424"")"),0)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IFERROR(__xludf.DUMMYFUNCTION("IMPORTRANGE(""https://docs.google.com/spreadsheets/d/11923uPwbBZFjjGgGUA6NLw09EwE0CqkOc4q9oUmW1yo/edit?usp=sharing"",""ลำพูน!I425"")"),0)</f>
        <v>0</v>
      </c>
      <c r="J530" s="197">
        <f ca="1">IFERROR(__xludf.DUMMYFUNCTION("IMPORTRANGE(""https://docs.google.com/spreadsheets/d/11923uPwbBZFjjGgGUA6NLw09EwE0CqkOc4q9oUmW1yo/edit?usp=sharing"",""ลำพูน!J425"")"),16)</f>
        <v>16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IFERROR(__xludf.DUMMYFUNCTION("IMPORTRANGE(""https://docs.google.com/spreadsheets/d/11923uPwbBZFjjGgGUA6NLw09EwE0CqkOc4q9oUmW1yo/edit?usp=sharing"",""ลำพูน!I426"")"),0)</f>
        <v>0</v>
      </c>
      <c r="J531" s="197">
        <f ca="1">IFERROR(__xludf.DUMMYFUNCTION("IMPORTRANGE(""https://docs.google.com/spreadsheets/d/11923uPwbBZFjjGgGUA6NLw09EwE0CqkOc4q9oUmW1yo/edit?usp=sharing"",""ลำพูน!J426"")"),138)</f>
        <v>138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IFERROR(__xludf.DUMMYFUNCTION("IMPORTRANGE(""https://docs.google.com/spreadsheets/d/11923uPwbBZFjjGgGUA6NLw09EwE0CqkOc4q9oUmW1yo/edit?usp=sharing"",""ลำพูน!I427"")"),0)</f>
        <v>0</v>
      </c>
      <c r="J532" s="466">
        <f ca="1">IFERROR(__xludf.DUMMYFUNCTION("IMPORTRANGE(""https://docs.google.com/spreadsheets/d/11923uPwbBZFjjGgGUA6NLw09EwE0CqkOc4q9oUmW1yo/edit?usp=sharing"",""ลำพูน!J427"")"),0)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IFERROR(__xludf.DUMMYFUNCTION("IMPORTRANGE(""https://docs.google.com/spreadsheets/d/11923uPwbBZFjjGgGUA6NLw09EwE0CqkOc4q9oUmW1yo/edit?usp=sharing"",""ลำพูน!I428"")"),22)</f>
        <v>22</v>
      </c>
      <c r="J533" s="409">
        <f ca="1">IFERROR(__xludf.DUMMYFUNCTION("IMPORTRANGE(""https://docs.google.com/spreadsheets/d/11923uPwbBZFjjGgGUA6NLw09EwE0CqkOc4q9oUmW1yo/edit?usp=sharing"",""ลำพูน!J428"")"),22)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IFERROR(__xludf.DUMMYFUNCTION("IMPORTRANGE(""https://docs.google.com/spreadsheets/d/11923uPwbBZFjjGgGUA6NLw09EwE0CqkOc4q9oUmW1yo/edit?usp=sharing"",""ลำพูน!L428"")"),34340)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IFERROR(__xludf.DUMMYFUNCTION("IMPORTRANGE(""https://docs.google.com/spreadsheets/d/11923uPwbBZFjjGgGUA6NLw09EwE0CqkOc4q9oUmW1yo/edit?usp=sharing"",""ลำพูน!M428"")"),17969)</f>
        <v>17969</v>
      </c>
      <c r="O533" s="411">
        <f t="shared" ref="O533:O537" ca="1" si="118">+IF(L533&gt;0,N533*100/L533,0)</f>
        <v>52.32673267326733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IFERROR(__xludf.DUMMYFUNCTION("IMPORTRANGE(""https://docs.google.com/spreadsheets/d/11923uPwbBZFjjGgGUA6NLw09EwE0CqkOc4q9oUmW1yo/edit?usp=sharing"",""ลำพูน!L429"")"),0)</f>
        <v>0</v>
      </c>
      <c r="M534" s="164"/>
      <c r="N534" s="168">
        <f ca="1">IFERROR(__xludf.DUMMYFUNCTION("IMPORTRANGE(""https://docs.google.com/spreadsheets/d/11923uPwbBZFjjGgGUA6NLw09EwE0CqkOc4q9oUmW1yo/edit?usp=sharing"",""ลำพูน!M429"")"),0)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IFERROR(__xludf.DUMMYFUNCTION("IMPORTRANGE(""https://docs.google.com/spreadsheets/d/11923uPwbBZFjjGgGUA6NLw09EwE0CqkOc4q9oUmW1yo/edit?usp=sharing"",""ลำพูน!L430"")"),34340)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IFERROR(__xludf.DUMMYFUNCTION("IMPORTRANGE(""https://docs.google.com/spreadsheets/d/11923uPwbBZFjjGgGUA6NLw09EwE0CqkOc4q9oUmW1yo/edit?usp=sharing"",""ลำพูน!M430"")"),17969)</f>
        <v>17969</v>
      </c>
      <c r="O535" s="168">
        <f t="shared" ca="1" si="118"/>
        <v>52.32673267326733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IFERROR(__xludf.DUMMYFUNCTION("IMPORTRANGE(""https://docs.google.com/spreadsheets/d/11923uPwbBZFjjGgGUA6NLw09EwE0CqkOc4q9oUmW1yo/edit?usp=sharing"",""ลำพูน!L431"")"),0)</f>
        <v>0</v>
      </c>
      <c r="M536" s="168"/>
      <c r="N536" s="168">
        <f ca="1">IFERROR(__xludf.DUMMYFUNCTION("IMPORTRANGE(""https://docs.google.com/spreadsheets/d/11923uPwbBZFjjGgGUA6NLw09EwE0CqkOc4q9oUmW1yo/edit?usp=sharing"",""ลำพูน!M431"")"),0)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IFERROR(__xludf.DUMMYFUNCTION("IMPORTRANGE(""https://docs.google.com/spreadsheets/d/11923uPwbBZFjjGgGUA6NLw09EwE0CqkOc4q9oUmW1yo/edit?usp=sharing"",""ลำพูน!L432"")"),34340)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IFERROR(__xludf.DUMMYFUNCTION("IMPORTRANGE(""https://docs.google.com/spreadsheets/d/11923uPwbBZFjjGgGUA6NLw09EwE0CqkOc4q9oUmW1yo/edit?usp=sharing"",""ลำพูน!M432"")"),17969)</f>
        <v>17969</v>
      </c>
      <c r="O537" s="168">
        <f t="shared" ca="1" si="118"/>
        <v>52.32673267326733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IFERROR(__xludf.DUMMYFUNCTION("IMPORTRANGE(""https://docs.google.com/spreadsheets/d/11923uPwbBZFjjGgGUA6NLw09EwE0CqkOc4q9oUmW1yo/edit?usp=sharing"",""ลำพูน!M433"")"),17969)</f>
        <v>17969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IFERROR(__xludf.DUMMYFUNCTION("IMPORTRANGE(""https://docs.google.com/spreadsheets/d/11923uPwbBZFjjGgGUA6NLw09EwE0CqkOc4q9oUmW1yo/edit?usp=sharing"",""ลำพูน!M434"")"),0)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IFERROR(__xludf.DUMMYFUNCTION("IMPORTRANGE(""https://docs.google.com/spreadsheets/d/11923uPwbBZFjjGgGUA6NLw09EwE0CqkOc4q9oUmW1yo/edit?usp=sharing"",""ลำพูน!M435"")"),0)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IFERROR(__xludf.DUMMYFUNCTION("IMPORTRANGE(""https://docs.google.com/spreadsheets/d/11923uPwbBZFjjGgGUA6NLw09EwE0CqkOc4q9oUmW1yo/edit?usp=sharing"",""ลำพูน!M436"")"),0)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IFERROR(__xludf.DUMMYFUNCTION("IMPORTRANGE(""https://docs.google.com/spreadsheets/d/11923uPwbBZFjjGgGUA6NLw09EwE0CqkOc4q9oUmW1yo/edit?usp=sharing"",""ลำพูน!J438"")"),0)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IFERROR(__xludf.DUMMYFUNCTION("IMPORTRANGE(""https://docs.google.com/spreadsheets/d/11923uPwbBZFjjGgGUA6NLw09EwE0CqkOc4q9oUmW1yo/edit?usp=sharing"",""ลำพูน!J439"")"),1)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IFERROR(__xludf.DUMMYFUNCTION("IMPORTRANGE(""https://docs.google.com/spreadsheets/d/11923uPwbBZFjjGgGUA6NLw09EwE0CqkOc4q9oUmW1yo/edit?usp=sharing"",""ลำพูน!J440"")"),1)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IFERROR(__xludf.DUMMYFUNCTION("IMPORTRANGE(""https://docs.google.com/spreadsheets/d/11923uPwbBZFjjGgGUA6NLw09EwE0CqkOc4q9oUmW1yo/edit?usp=sharing"",""ลำพูน!J441"")"),1)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IFERROR(__xludf.DUMMYFUNCTION("IMPORTRANGE(""https://docs.google.com/spreadsheets/d/11923uPwbBZFjjGgGUA6NLw09EwE0CqkOc4q9oUmW1yo/edit?usp=sharing"",""ลำพูน!I442"")"),22)</f>
        <v>22</v>
      </c>
      <c r="J547" s="188">
        <f ca="1">IFERROR(__xludf.DUMMYFUNCTION("IMPORTRANGE(""https://docs.google.com/spreadsheets/d/11923uPwbBZFjjGgGUA6NLw09EwE0CqkOc4q9oUmW1yo/edit?usp=sharing"",""ลำพูน!J442"")"),22)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IFERROR(__xludf.DUMMYFUNCTION("IMPORTRANGE(""https://docs.google.com/spreadsheets/d/11923uPwbBZFjjGgGUA6NLw09EwE0CqkOc4q9oUmW1yo/edit?usp=sharing"",""ลำพูน!J166"")"),0)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IFERROR(__xludf.DUMMYFUNCTION("IMPORTRANGE(""https://docs.google.com/spreadsheets/d/11923uPwbBZFjjGgGUA6NLw09EwE0CqkOc4q9oUmW1yo/edit?usp=sharing"",""ลำพูน!J444"")"),1)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IFERROR(__xludf.DUMMYFUNCTION("IMPORTRANGE(""https://docs.google.com/spreadsheets/d/11923uPwbBZFjjGgGUA6NLw09EwE0CqkOc4q9oUmW1yo/edit?usp=sharing"",""ลำพูน!J445"")"),0)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IFERROR(__xludf.DUMMYFUNCTION("IMPORTRANGE(""https://docs.google.com/spreadsheets/d/11923uPwbBZFjjGgGUA6NLw09EwE0CqkOc4q9oUmW1yo/edit?usp=sharing"",""ลำพูน!I446"")"),0)</f>
        <v>0</v>
      </c>
      <c r="J551" s="409">
        <f ca="1">IFERROR(__xludf.DUMMYFUNCTION("IMPORTRANGE(""https://docs.google.com/spreadsheets/d/11923uPwbBZFjjGgGUA6NLw09EwE0CqkOc4q9oUmW1yo/edit?usp=sharing"",""ลำพูน!J446"")"),0)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IFERROR(__xludf.DUMMYFUNCTION("IMPORTRANGE(""https://docs.google.com/spreadsheets/d/11923uPwbBZFjjGgGUA6NLw09EwE0CqkOc4q9oUmW1yo/edit?usp=sharing"",""ลำพูน!L446"")"),0)</f>
        <v>0</v>
      </c>
      <c r="M551" s="411"/>
      <c r="N551" s="411">
        <f ca="1">IFERROR(__xludf.DUMMYFUNCTION("IMPORTRANGE(""https://docs.google.com/spreadsheets/d/11923uPwbBZFjjGgGUA6NLw09EwE0CqkOc4q9oUmW1yo/edit?usp=sharing"",""ลำพูน!M446"")"),0)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IFERROR(__xludf.DUMMYFUNCTION("IMPORTRANGE(""https://docs.google.com/spreadsheets/d/11923uPwbBZFjjGgGUA6NLw09EwE0CqkOc4q9oUmW1yo/edit?usp=sharing"",""ลำพูน!L447"")"),0)</f>
        <v>0</v>
      </c>
      <c r="M552" s="164"/>
      <c r="N552" s="168">
        <f ca="1">IFERROR(__xludf.DUMMYFUNCTION("IMPORTRANGE(""https://docs.google.com/spreadsheets/d/11923uPwbBZFjjGgGUA6NLw09EwE0CqkOc4q9oUmW1yo/edit?usp=sharing"",""ลำพูน!M447"")"),0)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IFERROR(__xludf.DUMMYFUNCTION("IMPORTRANGE(""https://docs.google.com/spreadsheets/d/11923uPwbBZFjjGgGUA6NLw09EwE0CqkOc4q9oUmW1yo/edit?usp=sharing"",""ลำพูน!L448"")"),0)</f>
        <v>0</v>
      </c>
      <c r="M553" s="165"/>
      <c r="N553" s="168">
        <f ca="1">IFERROR(__xludf.DUMMYFUNCTION("IMPORTRANGE(""https://docs.google.com/spreadsheets/d/11923uPwbBZFjjGgGUA6NLw09EwE0CqkOc4q9oUmW1yo/edit?usp=sharing"",""ลำพูน!M448"")"),0)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IFERROR(__xludf.DUMMYFUNCTION("IMPORTRANGE(""https://docs.google.com/spreadsheets/d/11923uPwbBZFjjGgGUA6NLw09EwE0CqkOc4q9oUmW1yo/edit?usp=sharing"",""ลำพูน!L449"")"),0)</f>
        <v>0</v>
      </c>
      <c r="M554" s="168"/>
      <c r="N554" s="168">
        <f ca="1">IFERROR(__xludf.DUMMYFUNCTION("IMPORTRANGE(""https://docs.google.com/spreadsheets/d/11923uPwbBZFjjGgGUA6NLw09EwE0CqkOc4q9oUmW1yo/edit?usp=sharing"",""ลำพูน!M449"")"),0)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IFERROR(__xludf.DUMMYFUNCTION("IMPORTRANGE(""https://docs.google.com/spreadsheets/d/11923uPwbBZFjjGgGUA6NLw09EwE0CqkOc4q9oUmW1yo/edit?usp=sharing"",""ลำพูน!L450"")"),0)</f>
        <v>0</v>
      </c>
      <c r="M555" s="168"/>
      <c r="N555" s="168">
        <f ca="1">IFERROR(__xludf.DUMMYFUNCTION("IMPORTRANGE(""https://docs.google.com/spreadsheets/d/11923uPwbBZFjjGgGUA6NLw09EwE0CqkOc4q9oUmW1yo/edit?usp=sharing"",""ลำพูน!M450"")"),0)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IFERROR(__xludf.DUMMYFUNCTION("IMPORTRANGE(""https://docs.google.com/spreadsheets/d/11923uPwbBZFjjGgGUA6NLw09EwE0CqkOc4q9oUmW1yo/edit?usp=sharing"",""ลำพูน!M451"")"),0)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IFERROR(__xludf.DUMMYFUNCTION("IMPORTRANGE(""https://docs.google.com/spreadsheets/d/11923uPwbBZFjjGgGUA6NLw09EwE0CqkOc4q9oUmW1yo/edit?usp=sharing"",""ลำพูน!M452"")"),0)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IFERROR(__xludf.DUMMYFUNCTION("IMPORTRANGE(""https://docs.google.com/spreadsheets/d/11923uPwbBZFjjGgGUA6NLw09EwE0CqkOc4q9oUmW1yo/edit?usp=sharing"",""ลำพูน!M453"")"),0)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IFERROR(__xludf.DUMMYFUNCTION("IMPORTRANGE(""https://docs.google.com/spreadsheets/d/11923uPwbBZFjjGgGUA6NLw09EwE0CqkOc4q9oUmW1yo/edit?usp=sharing"",""ลำพูน!M454"")"),0)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IFERROR(__xludf.DUMMYFUNCTION("IMPORTRANGE(""https://docs.google.com/spreadsheets/d/11923uPwbBZFjjGgGUA6NLw09EwE0CqkOc4q9oUmW1yo/edit?usp=sharing"",""ลำพูน!I455"")"),0)</f>
        <v>0</v>
      </c>
      <c r="J560" s="162">
        <f ca="1">IFERROR(__xludf.DUMMYFUNCTION("IMPORTRANGE(""https://docs.google.com/spreadsheets/d/11923uPwbBZFjjGgGUA6NLw09EwE0CqkOc4q9oUmW1yo/edit?usp=sharing"",""ลำพูน!J455"")"),0)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IFERROR(__xludf.DUMMYFUNCTION("IMPORTRANGE(""https://docs.google.com/spreadsheets/d/11923uPwbBZFjjGgGUA6NLw09EwE0CqkOc4q9oUmW1yo/edit?usp=sharing"",""ลำพูน!I456"")"),0)</f>
        <v>0</v>
      </c>
      <c r="J561" s="203">
        <f ca="1">IFERROR(__xludf.DUMMYFUNCTION("IMPORTRANGE(""https://docs.google.com/spreadsheets/d/11923uPwbBZFjjGgGUA6NLw09EwE0CqkOc4q9oUmW1yo/edit?usp=sharing"",""ลำพูน!J456"")"),0)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IFERROR(__xludf.DUMMYFUNCTION("IMPORTRANGE(""https://docs.google.com/spreadsheets/d/11923uPwbBZFjjGgGUA6NLw09EwE0CqkOc4q9oUmW1yo/edit?usp=sharing"",""ลำพูน!I459"")"),650)</f>
        <v>650</v>
      </c>
      <c r="J564" s="370">
        <f ca="1">IFERROR(__xludf.DUMMYFUNCTION("IMPORTRANGE(""https://docs.google.com/spreadsheets/d/11923uPwbBZFjjGgGUA6NLw09EwE0CqkOc4q9oUmW1yo/edit?usp=sharing"",""ลำพูน!J459"")"),1381)</f>
        <v>1381</v>
      </c>
      <c r="K564" s="371">
        <f ca="1">IF(I564&gt;0,J564*100/I564,0)</f>
        <v>212.46153846153845</v>
      </c>
      <c r="L564" s="372">
        <f ca="1">IFERROR(__xludf.DUMMYFUNCTION("IMPORTRANGE(""https://docs.google.com/spreadsheets/d/11923uPwbBZFjjGgGUA6NLw09EwE0CqkOc4q9oUmW1yo/edit?usp=sharing"",""ลำพูน!L459"")"),126880)</f>
        <v>126880</v>
      </c>
      <c r="M564" s="372"/>
      <c r="N564" s="372">
        <f ca="1">IFERROR(__xludf.DUMMYFUNCTION("IMPORTRANGE(""https://docs.google.com/spreadsheets/d/11923uPwbBZFjjGgGUA6NLw09EwE0CqkOc4q9oUmW1yo/edit?usp=sharing"",""ลำพูน!M459"")"),77405)</f>
        <v>77405</v>
      </c>
      <c r="O564" s="372">
        <f t="shared" ref="O564:O568" ca="1" si="122">+IF(L564&gt;0,N564*100/L564,0)</f>
        <v>61.006462799495587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IFERROR(__xludf.DUMMYFUNCTION("IMPORTRANGE(""https://docs.google.com/spreadsheets/d/11923uPwbBZFjjGgGUA6NLw09EwE0CqkOc4q9oUmW1yo/edit?usp=sharing"",""ลำพูน!L460"")"),0)</f>
        <v>0</v>
      </c>
      <c r="M565" s="164"/>
      <c r="N565" s="168">
        <f ca="1">IFERROR(__xludf.DUMMYFUNCTION("IMPORTRANGE(""https://docs.google.com/spreadsheets/d/11923uPwbBZFjjGgGUA6NLw09EwE0CqkOc4q9oUmW1yo/edit?usp=sharing"",""ลำพูน!M460"")"),0)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IFERROR(__xludf.DUMMYFUNCTION("IMPORTRANGE(""https://docs.google.com/spreadsheets/d/11923uPwbBZFjjGgGUA6NLw09EwE0CqkOc4q9oUmW1yo/edit?usp=sharing"",""ลำพูน!L461"")"),126880)</f>
        <v>126880</v>
      </c>
      <c r="M566" s="165"/>
      <c r="N566" s="168">
        <f ca="1">IFERROR(__xludf.DUMMYFUNCTION("IMPORTRANGE(""https://docs.google.com/spreadsheets/d/11923uPwbBZFjjGgGUA6NLw09EwE0CqkOc4q9oUmW1yo/edit?usp=sharing"",""ลำพูน!M461"")"),77405)</f>
        <v>77405</v>
      </c>
      <c r="O566" s="168">
        <f t="shared" ca="1" si="122"/>
        <v>61.006462799495587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IFERROR(__xludf.DUMMYFUNCTION("IMPORTRANGE(""https://docs.google.com/spreadsheets/d/11923uPwbBZFjjGgGUA6NLw09EwE0CqkOc4q9oUmW1yo/edit?usp=sharing"",""ลำพูน!L462"")"),0)</f>
        <v>0</v>
      </c>
      <c r="M567" s="168"/>
      <c r="N567" s="168">
        <f ca="1">IFERROR(__xludf.DUMMYFUNCTION("IMPORTRANGE(""https://docs.google.com/spreadsheets/d/11923uPwbBZFjjGgGUA6NLw09EwE0CqkOc4q9oUmW1yo/edit?usp=sharing"",""ลำพูน!M462"")"),0)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IFERROR(__xludf.DUMMYFUNCTION("IMPORTRANGE(""https://docs.google.com/spreadsheets/d/11923uPwbBZFjjGgGUA6NLw09EwE0CqkOc4q9oUmW1yo/edit?usp=sharing"",""ลำพูน!L463"")"),126880)</f>
        <v>126880</v>
      </c>
      <c r="M568" s="168"/>
      <c r="N568" s="168">
        <f ca="1">IFERROR(__xludf.DUMMYFUNCTION("IMPORTRANGE(""https://docs.google.com/spreadsheets/d/11923uPwbBZFjjGgGUA6NLw09EwE0CqkOc4q9oUmW1yo/edit?usp=sharing"",""ลำพูน!M463"")"),77405)</f>
        <v>77405</v>
      </c>
      <c r="O568" s="168">
        <f t="shared" ca="1" si="122"/>
        <v>61.006462799495587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IFERROR(__xludf.DUMMYFUNCTION("IMPORTRANGE(""https://docs.google.com/spreadsheets/d/11923uPwbBZFjjGgGUA6NLw09EwE0CqkOc4q9oUmW1yo/edit?usp=sharing"",""ลำพูน!M464"")"),0)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IFERROR(__xludf.DUMMYFUNCTION("IMPORTRANGE(""https://docs.google.com/spreadsheets/d/11923uPwbBZFjjGgGUA6NLw09EwE0CqkOc4q9oUmW1yo/edit?usp=sharing"",""ลำพูน!M465"")"),0)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IFERROR(__xludf.DUMMYFUNCTION("IMPORTRANGE(""https://docs.google.com/spreadsheets/d/11923uPwbBZFjjGgGUA6NLw09EwE0CqkOc4q9oUmW1yo/edit?usp=sharing"",""ลำพูน!M466"")"),64935)</f>
        <v>64935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IFERROR(__xludf.DUMMYFUNCTION("IMPORTRANGE(""https://docs.google.com/spreadsheets/d/11923uPwbBZFjjGgGUA6NLw09EwE0CqkOc4q9oUmW1yo/edit?usp=sharing"",""ลำพูน!M467"")"),12470)</f>
        <v>12470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IFERROR(__xludf.DUMMYFUNCTION("IMPORTRANGE(""https://docs.google.com/spreadsheets/d/11923uPwbBZFjjGgGUA6NLw09EwE0CqkOc4q9oUmW1yo/edit?usp=sharing"",""ลำพูน!I468"")"),650)</f>
        <v>650</v>
      </c>
      <c r="J573" s="420">
        <f ca="1">IFERROR(__xludf.DUMMYFUNCTION("IMPORTRANGE(""https://docs.google.com/spreadsheets/d/11923uPwbBZFjjGgGUA6NLw09EwE0CqkOc4q9oUmW1yo/edit?usp=sharing"",""ลำพูน!J468"")"),1381)</f>
        <v>1381</v>
      </c>
      <c r="K573" s="201">
        <f ca="1">IF(I573&gt;0,J573*100/I573,0)</f>
        <v>212.46153846153845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IFERROR(__xludf.DUMMYFUNCTION("IMPORTRANGE(""https://docs.google.com/spreadsheets/d/11923uPwbBZFjjGgGUA6NLw09EwE0CqkOc4q9oUmW1yo/edit?usp=sharing"",""ลำพูน!I470"")"),0)</f>
        <v>0</v>
      </c>
      <c r="J575" s="197">
        <f ca="1">IFERROR(__xludf.DUMMYFUNCTION("IMPORTRANGE(""https://docs.google.com/spreadsheets/d/11923uPwbBZFjjGgGUA6NLw09EwE0CqkOc4q9oUmW1yo/edit?usp=sharing"",""ลำพูน!J470"")"),5)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IFERROR(__xludf.DUMMYFUNCTION("IMPORTRANGE(""https://docs.google.com/spreadsheets/d/11923uPwbBZFjjGgGUA6NLw09EwE0CqkOc4q9oUmW1yo/edit?usp=sharing"",""ลำพูน!I471"")"),0)</f>
        <v>0</v>
      </c>
      <c r="J576" s="197">
        <f ca="1">IFERROR(__xludf.DUMMYFUNCTION("IMPORTRANGE(""https://docs.google.com/spreadsheets/d/11923uPwbBZFjjGgGUA6NLw09EwE0CqkOc4q9oUmW1yo/edit?usp=sharing"",""ลำพูน!J471"")"),370)</f>
        <v>370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IFERROR(__xludf.DUMMYFUNCTION("IMPORTRANGE(""https://docs.google.com/spreadsheets/d/11923uPwbBZFjjGgGUA6NLw09EwE0CqkOc4q9oUmW1yo/edit?usp=sharing"",""ลำพูน!I472"")"),0)</f>
        <v>0</v>
      </c>
      <c r="J577" s="188">
        <f ca="1">IFERROR(__xludf.DUMMYFUNCTION("IMPORTRANGE(""https://docs.google.com/spreadsheets/d/11923uPwbBZFjjGgGUA6NLw09EwE0CqkOc4q9oUmW1yo/edit?usp=sharing"",""ลำพูน!J472"")"),1011)</f>
        <v>1011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IFERROR(__xludf.DUMMYFUNCTION("IMPORTRANGE(""https://docs.google.com/spreadsheets/d/11923uPwbBZFjjGgGUA6NLw09EwE0CqkOc4q9oUmW1yo/edit?usp=sharing"",""ลำพูน!I473"")"),0)</f>
        <v>0</v>
      </c>
      <c r="J578" s="197">
        <f ca="1">IFERROR(__xludf.DUMMYFUNCTION("IMPORTRANGE(""https://docs.google.com/spreadsheets/d/11923uPwbBZFjjGgGUA6NLw09EwE0CqkOc4q9oUmW1yo/edit?usp=sharing"",""ลำพูน!J473"")"),0)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IFERROR(__xludf.DUMMYFUNCTION("IMPORTRANGE(""https://docs.google.com/spreadsheets/d/11923uPwbBZFjjGgGUA6NLw09EwE0CqkOc4q9oUmW1yo/edit?usp=sharing"",""ลำพูน!I474"")"),0)</f>
        <v>0</v>
      </c>
      <c r="J579" s="197">
        <f ca="1">IFERROR(__xludf.DUMMYFUNCTION("IMPORTRANGE(""https://docs.google.com/spreadsheets/d/11923uPwbBZFjjGgGUA6NLw09EwE0CqkOc4q9oUmW1yo/edit?usp=sharing"",""ลำพูน!J474"")"),0)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IFERROR(__xludf.DUMMYFUNCTION("IMPORTRANGE(""https://docs.google.com/spreadsheets/d/11923uPwbBZFjjGgGUA6NLw09EwE0CqkOc4q9oUmW1yo/edit?usp=sharing"",""ลำพูน!I475"")"),0)</f>
        <v>0</v>
      </c>
      <c r="J580" s="370">
        <f ca="1">IFERROR(__xludf.DUMMYFUNCTION("IMPORTRANGE(""https://docs.google.com/spreadsheets/d/11923uPwbBZFjjGgGUA6NLw09EwE0CqkOc4q9oUmW1yo/edit?usp=sharing"",""ลำพูน!J475"")"),0)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IFERROR(__xludf.DUMMYFUNCTION("IMPORTRANGE(""https://docs.google.com/spreadsheets/d/11923uPwbBZFjjGgGUA6NLw09EwE0CqkOc4q9oUmW1yo/edit?usp=sharing"",""ลำพูน!L475"")"),0)</f>
        <v>0</v>
      </c>
      <c r="M580" s="372"/>
      <c r="N580" s="372">
        <f ca="1">IFERROR(__xludf.DUMMYFUNCTION("IMPORTRANGE(""https://docs.google.com/spreadsheets/d/11923uPwbBZFjjGgGUA6NLw09EwE0CqkOc4q9oUmW1yo/edit?usp=sharing"",""ลำพูน!M475"")"),0)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IFERROR(__xludf.DUMMYFUNCTION("IMPORTRANGE(""https://docs.google.com/spreadsheets/d/11923uPwbBZFjjGgGUA6NLw09EwE0CqkOc4q9oUmW1yo/edit?usp=sharing"",""ลำพูน!L476"")"),0)</f>
        <v>0</v>
      </c>
      <c r="M581" s="164"/>
      <c r="N581" s="168">
        <f ca="1">IFERROR(__xludf.DUMMYFUNCTION("IMPORTRANGE(""https://docs.google.com/spreadsheets/d/11923uPwbBZFjjGgGUA6NLw09EwE0CqkOc4q9oUmW1yo/edit?usp=sharing"",""ลำพูน!M476"")"),0)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IFERROR(__xludf.DUMMYFUNCTION("IMPORTRANGE(""https://docs.google.com/spreadsheets/d/11923uPwbBZFjjGgGUA6NLw09EwE0CqkOc4q9oUmW1yo/edit?usp=sharing"",""ลำพูน!L477"")"),0)</f>
        <v>0</v>
      </c>
      <c r="M582" s="165"/>
      <c r="N582" s="168">
        <f ca="1">IFERROR(__xludf.DUMMYFUNCTION("IMPORTRANGE(""https://docs.google.com/spreadsheets/d/11923uPwbBZFjjGgGUA6NLw09EwE0CqkOc4q9oUmW1yo/edit?usp=sharing"",""ลำพูน!M477"")"),0)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IFERROR(__xludf.DUMMYFUNCTION("IMPORTRANGE(""https://docs.google.com/spreadsheets/d/11923uPwbBZFjjGgGUA6NLw09EwE0CqkOc4q9oUmW1yo/edit?usp=sharing"",""ลำพูน!L478"")"),0)</f>
        <v>0</v>
      </c>
      <c r="M583" s="168"/>
      <c r="N583" s="168">
        <f ca="1">IFERROR(__xludf.DUMMYFUNCTION("IMPORTRANGE(""https://docs.google.com/spreadsheets/d/11923uPwbBZFjjGgGUA6NLw09EwE0CqkOc4q9oUmW1yo/edit?usp=sharing"",""ลำพูน!M478"")"),0)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IFERROR(__xludf.DUMMYFUNCTION("IMPORTRANGE(""https://docs.google.com/spreadsheets/d/11923uPwbBZFjjGgGUA6NLw09EwE0CqkOc4q9oUmW1yo/edit?usp=sharing"",""ลำพูน!L479"")"),0)</f>
        <v>0</v>
      </c>
      <c r="M584" s="168"/>
      <c r="N584" s="168">
        <f ca="1">IFERROR(__xludf.DUMMYFUNCTION("IMPORTRANGE(""https://docs.google.com/spreadsheets/d/11923uPwbBZFjjGgGUA6NLw09EwE0CqkOc4q9oUmW1yo/edit?usp=sharing"",""ลำพูน!M479"")"),0)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IFERROR(__xludf.DUMMYFUNCTION("IMPORTRANGE(""https://docs.google.com/spreadsheets/d/11923uPwbBZFjjGgGUA6NLw09EwE0CqkOc4q9oUmW1yo/edit?usp=sharing"",""ลำพูน!M480"")"),0)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IFERROR(__xludf.DUMMYFUNCTION("IMPORTRANGE(""https://docs.google.com/spreadsheets/d/11923uPwbBZFjjGgGUA6NLw09EwE0CqkOc4q9oUmW1yo/edit?usp=sharing"",""ลำพูน!M481"")"),0)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IFERROR(__xludf.DUMMYFUNCTION("IMPORTRANGE(""https://docs.google.com/spreadsheets/d/11923uPwbBZFjjGgGUA6NLw09EwE0CqkOc4q9oUmW1yo/edit?usp=sharing"",""ลำพูน!M482"")"),0)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IFERROR(__xludf.DUMMYFUNCTION("IMPORTRANGE(""https://docs.google.com/spreadsheets/d/11923uPwbBZFjjGgGUA6NLw09EwE0CqkOc4q9oUmW1yo/edit?usp=sharing"",""ลำพูน!M483"")"),0)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IFERROR(__xludf.DUMMYFUNCTION("IMPORTRANGE(""https://docs.google.com/spreadsheets/d/11923uPwbBZFjjGgGUA6NLw09EwE0CqkOc4q9oUmW1yo/edit?usp=sharing"",""ลำพูน!I484"")"),0)</f>
        <v>0</v>
      </c>
      <c r="J589" s="187">
        <f ca="1">IFERROR(__xludf.DUMMYFUNCTION("IMPORTRANGE(""https://docs.google.com/spreadsheets/d/11923uPwbBZFjjGgGUA6NLw09EwE0CqkOc4q9oUmW1yo/edit?usp=sharing"",""ลำพูน!J484"")"),0)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IFERROR(__xludf.DUMMYFUNCTION("IMPORTRANGE(""https://docs.google.com/spreadsheets/d/11923uPwbBZFjjGgGUA6NLw09EwE0CqkOc4q9oUmW1yo/edit?usp=sharing"",""ลำพูน!I485"")"),0)</f>
        <v>0</v>
      </c>
      <c r="J590" s="187">
        <f ca="1">IFERROR(__xludf.DUMMYFUNCTION("IMPORTRANGE(""https://docs.google.com/spreadsheets/d/11923uPwbBZFjjGgGUA6NLw09EwE0CqkOc4q9oUmW1yo/edit?usp=sharing"",""ลำพูน!J485"")"),0)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IFERROR(__xludf.DUMMYFUNCTION("IMPORTRANGE(""https://docs.google.com/spreadsheets/d/11923uPwbBZFjjGgGUA6NLw09EwE0CqkOc4q9oUmW1yo/edit?usp=sharing"",""ลำพูน!I486"")"),0)</f>
        <v>0</v>
      </c>
      <c r="J591" s="187">
        <f ca="1">IFERROR(__xludf.DUMMYFUNCTION("IMPORTRANGE(""https://docs.google.com/spreadsheets/d/11923uPwbBZFjjGgGUA6NLw09EwE0CqkOc4q9oUmW1yo/edit?usp=sharing"",""ลำพูน!J486"")"),0)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IFERROR(__xludf.DUMMYFUNCTION("IMPORTRANGE(""https://docs.google.com/spreadsheets/d/11923uPwbBZFjjGgGUA6NLw09EwE0CqkOc4q9oUmW1yo/edit?usp=sharing"",""ลำพูน!I487"")"),0)</f>
        <v>0</v>
      </c>
      <c r="J592" s="187">
        <f ca="1">IFERROR(__xludf.DUMMYFUNCTION("IMPORTRANGE(""https://docs.google.com/spreadsheets/d/11923uPwbBZFjjGgGUA6NLw09EwE0CqkOc4q9oUmW1yo/edit?usp=sharing"",""ลำพูน!J487"")"),0)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IFERROR(__xludf.DUMMYFUNCTION("IMPORTRANGE(""https://docs.google.com/spreadsheets/d/11923uPwbBZFjjGgGUA6NLw09EwE0CqkOc4q9oUmW1yo/edit?usp=sharing"",""ลำพูน!I488"")"),0)</f>
        <v>0</v>
      </c>
      <c r="J593" s="187">
        <f ca="1">IFERROR(__xludf.DUMMYFUNCTION("IMPORTRANGE(""https://docs.google.com/spreadsheets/d/11923uPwbBZFjjGgGUA6NLw09EwE0CqkOc4q9oUmW1yo/edit?usp=sharing"",""ลำพูน!J488"")"),0)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IFERROR(__xludf.DUMMYFUNCTION("IMPORTRANGE(""https://docs.google.com/spreadsheets/d/11923uPwbBZFjjGgGUA6NLw09EwE0CqkOc4q9oUmW1yo/edit?usp=sharing"",""ลำพูน!I489"")"),0)</f>
        <v>0</v>
      </c>
      <c r="J594" s="187">
        <f ca="1">IFERROR(__xludf.DUMMYFUNCTION("IMPORTRANGE(""https://docs.google.com/spreadsheets/d/11923uPwbBZFjjGgGUA6NLw09EwE0CqkOc4q9oUmW1yo/edit?usp=sharing"",""ลำพูน!J489"")"),0)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IFERROR(__xludf.DUMMYFUNCTION("IMPORTRANGE(""https://docs.google.com/spreadsheets/d/11923uPwbBZFjjGgGUA6NLw09EwE0CqkOc4q9oUmW1yo/edit?usp=sharing"",""ลำพูน!I490"")"),0)</f>
        <v>0</v>
      </c>
      <c r="J595" s="187">
        <f ca="1">IFERROR(__xludf.DUMMYFUNCTION("IMPORTRANGE(""https://docs.google.com/spreadsheets/d/11923uPwbBZFjjGgGUA6NLw09EwE0CqkOc4q9oUmW1yo/edit?usp=sharing"",""ลำพูน!J490"")"),0)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IFERROR(__xludf.DUMMYFUNCTION("IMPORTRANGE(""https://docs.google.com/spreadsheets/d/11923uPwbBZFjjGgGUA6NLw09EwE0CqkOc4q9oUmW1yo/edit?usp=sharing"",""ลำพูน!I491"")"),0)</f>
        <v>0</v>
      </c>
      <c r="J596" s="241">
        <f ca="1">IFERROR(__xludf.DUMMYFUNCTION("IMPORTRANGE(""https://docs.google.com/spreadsheets/d/11923uPwbBZFjjGgGUA6NLw09EwE0CqkOc4q9oUmW1yo/edit?usp=sharing"",""ลำพูน!J491"")"),0)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IFERROR(__xludf.DUMMYFUNCTION("IMPORTRANGE(""https://docs.google.com/spreadsheets/d/11923uPwbBZFjjGgGUA6NLw09EwE0CqkOc4q9oUmW1yo/edit?usp=sharing"",""ลำพูน!I492"")"),50)</f>
        <v>50</v>
      </c>
      <c r="J597" s="488">
        <f ca="1">IFERROR(__xludf.DUMMYFUNCTION("IMPORTRANGE(""https://docs.google.com/spreadsheets/d/11923uPwbBZFjjGgGUA6NLw09EwE0CqkOc4q9oUmW1yo/edit?usp=sharing"",""ลำพูน!J492"")"),0)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IFERROR(__xludf.DUMMYFUNCTION("IMPORTRANGE(""https://docs.google.com/spreadsheets/d/11923uPwbBZFjjGgGUA6NLw09EwE0CqkOc4q9oUmW1yo/edit?usp=sharing"",""ลำพูน!L492"")"),4550)</f>
        <v>4550</v>
      </c>
      <c r="M597" s="411"/>
      <c r="N597" s="411">
        <f ca="1">IFERROR(__xludf.DUMMYFUNCTION("IMPORTRANGE(""https://docs.google.com/spreadsheets/d/11923uPwbBZFjjGgGUA6NLw09EwE0CqkOc4q9oUmW1yo/edit?usp=sharing"",""ลำพูน!M492"")"),850)</f>
        <v>850</v>
      </c>
      <c r="O597" s="411">
        <f t="shared" ref="O597:O601" ca="1" si="126">+IF(L597&gt;0,N597*100/L597,0)</f>
        <v>18.681318681318682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IFERROR(__xludf.DUMMYFUNCTION("IMPORTRANGE(""https://docs.google.com/spreadsheets/d/11923uPwbBZFjjGgGUA6NLw09EwE0CqkOc4q9oUmW1yo/edit?usp=sharing"",""ลำพูน!L493"")"),0)</f>
        <v>0</v>
      </c>
      <c r="M598" s="164"/>
      <c r="N598" s="168">
        <f ca="1">IFERROR(__xludf.DUMMYFUNCTION("IMPORTRANGE(""https://docs.google.com/spreadsheets/d/11923uPwbBZFjjGgGUA6NLw09EwE0CqkOc4q9oUmW1yo/edit?usp=sharing"",""ลำพูน!M493"")"),0)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IFERROR(__xludf.DUMMYFUNCTION("IMPORTRANGE(""https://docs.google.com/spreadsheets/d/11923uPwbBZFjjGgGUA6NLw09EwE0CqkOc4q9oUmW1yo/edit?usp=sharing"",""ลำพูน!L494"")"),4550)</f>
        <v>4550</v>
      </c>
      <c r="M599" s="165"/>
      <c r="N599" s="168">
        <f ca="1">IFERROR(__xludf.DUMMYFUNCTION("IMPORTRANGE(""https://docs.google.com/spreadsheets/d/11923uPwbBZFjjGgGUA6NLw09EwE0CqkOc4q9oUmW1yo/edit?usp=sharing"",""ลำพูน!M494"")"),850)</f>
        <v>850</v>
      </c>
      <c r="O599" s="168">
        <f t="shared" ca="1" si="126"/>
        <v>18.681318681318682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IFERROR(__xludf.DUMMYFUNCTION("IMPORTRANGE(""https://docs.google.com/spreadsheets/d/11923uPwbBZFjjGgGUA6NLw09EwE0CqkOc4q9oUmW1yo/edit?usp=sharing"",""ลำพูน!L495"")"),0)</f>
        <v>0</v>
      </c>
      <c r="M600" s="168"/>
      <c r="N600" s="168">
        <f ca="1">IFERROR(__xludf.DUMMYFUNCTION("IMPORTRANGE(""https://docs.google.com/spreadsheets/d/11923uPwbBZFjjGgGUA6NLw09EwE0CqkOc4q9oUmW1yo/edit?usp=sharing"",""ลำพูน!M495"")"),0)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IFERROR(__xludf.DUMMYFUNCTION("IMPORTRANGE(""https://docs.google.com/spreadsheets/d/11923uPwbBZFjjGgGUA6NLw09EwE0CqkOc4q9oUmW1yo/edit?usp=sharing"",""ลำพูน!L496"")"),4550)</f>
        <v>4550</v>
      </c>
      <c r="M601" s="168"/>
      <c r="N601" s="168">
        <f ca="1">IFERROR(__xludf.DUMMYFUNCTION("IMPORTRANGE(""https://docs.google.com/spreadsheets/d/11923uPwbBZFjjGgGUA6NLw09EwE0CqkOc4q9oUmW1yo/edit?usp=sharing"",""ลำพูน!M496"")"),850)</f>
        <v>850</v>
      </c>
      <c r="O601" s="168">
        <f t="shared" ca="1" si="126"/>
        <v>18.681318681318682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IFERROR(__xludf.DUMMYFUNCTION("IMPORTRANGE(""https://docs.google.com/spreadsheets/d/11923uPwbBZFjjGgGUA6NLw09EwE0CqkOc4q9oUmW1yo/edit?usp=sharing"",""ลำพูน!M497"")"),0)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IFERROR(__xludf.DUMMYFUNCTION("IMPORTRANGE(""https://docs.google.com/spreadsheets/d/11923uPwbBZFjjGgGUA6NLw09EwE0CqkOc4q9oUmW1yo/edit?usp=sharing"",""ลำพูน!M498"")"),0)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IFERROR(__xludf.DUMMYFUNCTION("IMPORTRANGE(""https://docs.google.com/spreadsheets/d/11923uPwbBZFjjGgGUA6NLw09EwE0CqkOc4q9oUmW1yo/edit?usp=sharing"",""ลำพูน!M499"")"),0)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IFERROR(__xludf.DUMMYFUNCTION("IMPORTRANGE(""https://docs.google.com/spreadsheets/d/11923uPwbBZFjjGgGUA6NLw09EwE0CqkOc4q9oUmW1yo/edit?usp=sharing"",""ลำพูน!M500"")"),850)</f>
        <v>850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IFERROR(__xludf.DUMMYFUNCTION("IMPORTRANGE(""https://docs.google.com/spreadsheets/d/11923uPwbBZFjjGgGUA6NLw09EwE0CqkOc4q9oUmW1yo/edit?usp=sharing"",""ลำพูน!J502"")"),0)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IFERROR(__xludf.DUMMYFUNCTION("IMPORTRANGE(""https://docs.google.com/spreadsheets/d/11923uPwbBZFjjGgGUA6NLw09EwE0CqkOc4q9oUmW1yo/edit?usp=sharing"",""ลำพูน!J503"")"),1)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IFERROR(__xludf.DUMMYFUNCTION("IMPORTRANGE(""https://docs.google.com/spreadsheets/d/11923uPwbBZFjjGgGUA6NLw09EwE0CqkOc4q9oUmW1yo/edit?usp=sharing"",""ลำพูน!J166"")"),0)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IFERROR(__xludf.DUMMYFUNCTION("IMPORTRANGE(""https://docs.google.com/spreadsheets/d/11923uPwbBZFjjGgGUA6NLw09EwE0CqkOc4q9oUmW1yo/edit?usp=sharing"",""ลำพูน!J166"")"),0)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IFERROR(__xludf.DUMMYFUNCTION("IMPORTRANGE(""https://docs.google.com/spreadsheets/d/11923uPwbBZFjjGgGUA6NLw09EwE0CqkOc4q9oUmW1yo/edit?usp=sharing"",""ลำพูน!I506"")"),50)</f>
        <v>50</v>
      </c>
      <c r="J611" s="162">
        <f ca="1">IFERROR(__xludf.DUMMYFUNCTION("IMPORTRANGE(""https://docs.google.com/spreadsheets/d/11923uPwbBZFjjGgGUA6NLw09EwE0CqkOc4q9oUmW1yo/edit?usp=sharing"",""ลำพูน!J506"")"),0)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IFERROR(__xludf.DUMMYFUNCTION("IMPORTRANGE(""https://docs.google.com/spreadsheets/d/11923uPwbBZFjjGgGUA6NLw09EwE0CqkOc4q9oUmW1yo/edit?usp=sharing"",""ลำพูน!I507"")"),0)</f>
        <v>0</v>
      </c>
      <c r="J612" s="197">
        <f ca="1">IFERROR(__xludf.DUMMYFUNCTION("IMPORTRANGE(""https://docs.google.com/spreadsheets/d/11923uPwbBZFjjGgGUA6NLw09EwE0CqkOc4q9oUmW1yo/edit?usp=sharing"",""ลำพูน!J507"")"),119)</f>
        <v>119</v>
      </c>
      <c r="K612" s="163">
        <f t="shared" ca="1" si="127"/>
        <v>238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IFERROR(__xludf.DUMMYFUNCTION("IMPORTRANGE(""https://docs.google.com/spreadsheets/d/11923uPwbBZFjjGgGUA6NLw09EwE0CqkOc4q9oUmW1yo/edit?usp=sharing"",""ลำพูน!I508"")"),0)</f>
        <v>0</v>
      </c>
      <c r="J613" s="197">
        <f ca="1">IFERROR(__xludf.DUMMYFUNCTION("IMPORTRANGE(""https://docs.google.com/spreadsheets/d/11923uPwbBZFjjGgGUA6NLw09EwE0CqkOc4q9oUmW1yo/edit?usp=sharing"",""ลำพูน!J508"")"),119)</f>
        <v>119</v>
      </c>
      <c r="K613" s="163">
        <f t="shared" ca="1" si="127"/>
        <v>238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IFERROR(__xludf.DUMMYFUNCTION("IMPORTRANGE(""https://docs.google.com/spreadsheets/d/11923uPwbBZFjjGgGUA6NLw09EwE0CqkOc4q9oUmW1yo/edit?usp=sharing"",""ลำพูน!I509"")"),0)</f>
        <v>0</v>
      </c>
      <c r="J614" s="197">
        <f ca="1">IFERROR(__xludf.DUMMYFUNCTION("IMPORTRANGE(""https://docs.google.com/spreadsheets/d/11923uPwbBZFjjGgGUA6NLw09EwE0CqkOc4q9oUmW1yo/edit?usp=sharing"",""ลำพูน!J509"")"),119)</f>
        <v>119</v>
      </c>
      <c r="K614" s="163">
        <f t="shared" ca="1" si="127"/>
        <v>238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IFERROR(__xludf.DUMMYFUNCTION("IMPORTRANGE(""https://docs.google.com/spreadsheets/d/11923uPwbBZFjjGgGUA6NLw09EwE0CqkOc4q9oUmW1yo/edit?usp=sharing"",""ลำพูน!I510"")"),0)</f>
        <v>0</v>
      </c>
      <c r="J615" s="197">
        <f ca="1">IFERROR(__xludf.DUMMYFUNCTION("IMPORTRANGE(""https://docs.google.com/spreadsheets/d/11923uPwbBZFjjGgGUA6NLw09EwE0CqkOc4q9oUmW1yo/edit?usp=sharing"",""ลำพูน!J510"")"),119)</f>
        <v>119</v>
      </c>
      <c r="K615" s="163">
        <f t="shared" ca="1" si="127"/>
        <v>238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IFERROR(__xludf.DUMMYFUNCTION("IMPORTRANGE(""https://docs.google.com/spreadsheets/d/11923uPwbBZFjjGgGUA6NLw09EwE0CqkOc4q9oUmW1yo/edit?usp=sharing"",""ลำพูน!I511"")"),0)</f>
        <v>0</v>
      </c>
      <c r="J616" s="197">
        <f ca="1">IFERROR(__xludf.DUMMYFUNCTION("IMPORTRANGE(""https://docs.google.com/spreadsheets/d/11923uPwbBZFjjGgGUA6NLw09EwE0CqkOc4q9oUmW1yo/edit?usp=sharing"",""ลำพูน!J511"")"),0)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IFERROR(__xludf.DUMMYFUNCTION("IMPORTRANGE(""https://docs.google.com/spreadsheets/d/11923uPwbBZFjjGgGUA6NLw09EwE0CqkOc4q9oUmW1yo/edit?usp=sharing"",""ลำพูน!I512"")"),0)</f>
        <v>0</v>
      </c>
      <c r="J617" s="187">
        <f ca="1">IFERROR(__xludf.DUMMYFUNCTION("IMPORTRANGE(""https://docs.google.com/spreadsheets/d/11923uPwbBZFjjGgGUA6NLw09EwE0CqkOc4q9oUmW1yo/edit?usp=sharing"",""ลำพูน!J512"")"),0)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IFERROR(__xludf.DUMMYFUNCTION("IMPORTRANGE(""https://docs.google.com/spreadsheets/d/11923uPwbBZFjjGgGUA6NLw09EwE0CqkOc4q9oUmW1yo/edit?usp=sharing"",""ลำพูน!I513"")"),0)</f>
        <v>0</v>
      </c>
      <c r="J618" s="188">
        <f ca="1">IFERROR(__xludf.DUMMYFUNCTION("IMPORTRANGE(""https://docs.google.com/spreadsheets/d/11923uPwbBZFjjGgGUA6NLw09EwE0CqkOc4q9oUmW1yo/edit?usp=sharing"",""ลำพูน!J513"")"),0)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IFERROR(__xludf.DUMMYFUNCTION("IMPORTRANGE(""https://docs.google.com/spreadsheets/d/11923uPwbBZFjjGgGUA6NLw09EwE0CqkOc4q9oUmW1yo/edit?usp=sharing"",""ลำพูน!I514"")"),0)</f>
        <v>0</v>
      </c>
      <c r="J619" s="188">
        <f ca="1">IFERROR(__xludf.DUMMYFUNCTION("IMPORTRANGE(""https://docs.google.com/spreadsheets/d/11923uPwbBZFjjGgGUA6NLw09EwE0CqkOc4q9oUmW1yo/edit?usp=sharing"",""ลำพูน!J514"")"),0)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IFERROR(__xludf.DUMMYFUNCTION("IMPORTRANGE(""https://docs.google.com/spreadsheets/d/11923uPwbBZFjjGgGUA6NLw09EwE0CqkOc4q9oUmW1yo/edit?usp=sharing"",""ลำพูน!I515"")"),0)</f>
        <v>0</v>
      </c>
      <c r="J620" s="202">
        <f ca="1">IFERROR(__xludf.DUMMYFUNCTION("IMPORTRANGE(""https://docs.google.com/spreadsheets/d/11923uPwbBZFjjGgGUA6NLw09EwE0CqkOc4q9oUmW1yo/edit?usp=sharing"",""ลำพูน!J515"")"),0)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IFERROR(__xludf.DUMMYFUNCTION("IMPORTRANGE(""https://docs.google.com/spreadsheets/d/11923uPwbBZFjjGgGUA6NLw09EwE0CqkOc4q9oUmW1yo/edit?usp=sharing"",""ลำพูน!I516"")"),0)</f>
        <v>0</v>
      </c>
      <c r="J621" s="202">
        <f ca="1">IFERROR(__xludf.DUMMYFUNCTION("IMPORTRANGE(""https://docs.google.com/spreadsheets/d/11923uPwbBZFjjGgGUA6NLw09EwE0CqkOc4q9oUmW1yo/edit?usp=sharing"",""ลำพูน!J516"")"),0)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IFERROR(__xludf.DUMMYFUNCTION("IMPORTRANGE(""https://docs.google.com/spreadsheets/d/11923uPwbBZFjjGgGUA6NLw09EwE0CqkOc4q9oUmW1yo/edit?usp=sharing"",""ลำพูน!I517"")"),0)</f>
        <v>0</v>
      </c>
      <c r="J622" s="188">
        <f ca="1">IFERROR(__xludf.DUMMYFUNCTION("IMPORTRANGE(""https://docs.google.com/spreadsheets/d/11923uPwbBZFjjGgGUA6NLw09EwE0CqkOc4q9oUmW1yo/edit?usp=sharing"",""ลำพูน!J517"")"),0)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IFERROR(__xludf.DUMMYFUNCTION("IMPORTRANGE(""https://docs.google.com/spreadsheets/d/11923uPwbBZFjjGgGUA6NLw09EwE0CqkOc4q9oUmW1yo/edit?usp=sharing"",""ลำพูน!I518"")"),0)</f>
        <v>0</v>
      </c>
      <c r="J623" s="188">
        <f ca="1">IFERROR(__xludf.DUMMYFUNCTION("IMPORTRANGE(""https://docs.google.com/spreadsheets/d/11923uPwbBZFjjGgGUA6NLw09EwE0CqkOc4q9oUmW1yo/edit?usp=sharing"",""ลำพูน!J518"")"),0)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IFERROR(__xludf.DUMMYFUNCTION("IMPORTRANGE(""https://docs.google.com/spreadsheets/d/11923uPwbBZFjjGgGUA6NLw09EwE0CqkOc4q9oUmW1yo/edit?usp=sharing"",""ลำพูน!I519"")"),0)</f>
        <v>0</v>
      </c>
      <c r="J624" s="187">
        <f ca="1">IFERROR(__xludf.DUMMYFUNCTION("IMPORTRANGE(""https://docs.google.com/spreadsheets/d/11923uPwbBZFjjGgGUA6NLw09EwE0CqkOc4q9oUmW1yo/edit?usp=sharing"",""ลำพูน!J519"")"),0)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IFERROR(__xludf.DUMMYFUNCTION("IMPORTRANGE(""https://docs.google.com/spreadsheets/d/11923uPwbBZFjjGgGUA6NLw09EwE0CqkOc4q9oUmW1yo/edit?usp=sharing"",""ลำพูน!I520"")"),0)</f>
        <v>0</v>
      </c>
      <c r="J625" s="188">
        <f ca="1">IFERROR(__xludf.DUMMYFUNCTION("IMPORTRANGE(""https://docs.google.com/spreadsheets/d/11923uPwbBZFjjGgGUA6NLw09EwE0CqkOc4q9oUmW1yo/edit?usp=sharing"",""ลำพูน!J520"")"),0)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IFERROR(__xludf.DUMMYFUNCTION("IMPORTRANGE(""https://docs.google.com/spreadsheets/d/11923uPwbBZFjjGgGUA6NLw09EwE0CqkOc4q9oUmW1yo/edit?usp=sharing"",""ลำพูน!I521"")"),0)</f>
        <v>0</v>
      </c>
      <c r="J626" s="188">
        <f ca="1">IFERROR(__xludf.DUMMYFUNCTION("IMPORTRANGE(""https://docs.google.com/spreadsheets/d/11923uPwbBZFjjGgGUA6NLw09EwE0CqkOc4q9oUmW1yo/edit?usp=sharing"",""ลำพูน!J521"")"),0)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IFERROR(__xludf.DUMMYFUNCTION("IMPORTRANGE(""https://docs.google.com/spreadsheets/d/11923uPwbBZFjjGgGUA6NLw09EwE0CqkOc4q9oUmW1yo/edit?usp=sharing"",""ลำพูน!I523"")"),6577500)</f>
        <v>6577500</v>
      </c>
      <c r="J628" s="341">
        <f ca="1">IFERROR(__xludf.DUMMYFUNCTION("IMPORTRANGE(""https://docs.google.com/spreadsheets/d/11923uPwbBZFjjGgGUA6NLw09EwE0CqkOc4q9oUmW1yo/edit?usp=sharing"",""ลำพูน!J523"")"),5777594)</f>
        <v>5777594</v>
      </c>
      <c r="K628" s="342">
        <f t="shared" ref="K628:K635" ca="1" si="129">IF(I628&gt;0,J628*100/I628,0)</f>
        <v>87.838753325731659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IFERROR(__xludf.DUMMYFUNCTION("IMPORTRANGE(""https://docs.google.com/spreadsheets/d/11923uPwbBZFjjGgGUA6NLw09EwE0CqkOc4q9oUmW1yo/edit?usp=sharing"",""ลำพูน!I524"")"),219)</f>
        <v>219</v>
      </c>
      <c r="J629" s="341">
        <f ca="1">IFERROR(__xludf.DUMMYFUNCTION("IMPORTRANGE(""https://docs.google.com/spreadsheets/d/11923uPwbBZFjjGgGUA6NLw09EwE0CqkOc4q9oUmW1yo/edit?usp=sharing"",""ลำพูน!J524"")"),201)</f>
        <v>201</v>
      </c>
      <c r="K629" s="342">
        <f t="shared" ca="1" si="129"/>
        <v>91.780821917808225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41">
        <f ca="1">IFERROR(__xludf.DUMMYFUNCTION("IMPORTRANGE(""https://docs.google.com/spreadsheets/d/11923uPwbBZFjjGgGUA6NLw09EwE0CqkOc4q9oUmW1yo/edit?usp=sharing"",""ลำพูน!J525"")"),199119.6)</f>
        <v>199119.6</v>
      </c>
      <c r="K630" s="342">
        <f t="shared" ca="1" si="129"/>
        <v>3.6461687924390418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IFERROR(__xludf.DUMMYFUNCTION("IMPORTRANGE(""https://docs.google.com/spreadsheets/d/11923uPwbBZFjjGgGUA6NLw09EwE0CqkOc4q9oUmW1yo/edit?usp=sharing"",""ลำพูน!I526"")"),213)</f>
        <v>213</v>
      </c>
      <c r="J631" s="341">
        <f ca="1">IFERROR(__xludf.DUMMYFUNCTION("IMPORTRANGE(""https://docs.google.com/spreadsheets/d/11923uPwbBZFjjGgGUA6NLw09EwE0CqkOc4q9oUmW1yo/edit?usp=sharing"",""ลำพูน!J526"")"),32)</f>
        <v>32</v>
      </c>
      <c r="K631" s="342">
        <f t="shared" ca="1" si="129"/>
        <v>15.023474178403756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IFERROR(__xludf.DUMMYFUNCTION("IMPORTRANGE(""https://docs.google.com/spreadsheets/d/11923uPwbBZFjjGgGUA6NLw09EwE0CqkOc4q9oUmW1yo/edit?usp=sharing"",""ลำพูน!I527"")"),3460652.83)</f>
        <v>3460652.83</v>
      </c>
      <c r="J632" s="341">
        <f ca="1">IFERROR(__xludf.DUMMYFUNCTION("IMPORTRANGE(""https://docs.google.com/spreadsheets/d/11923uPwbBZFjjGgGUA6NLw09EwE0CqkOc4q9oUmW1yo/edit?usp=sharing"",""ลำพูน!J527"")"),374178.02)</f>
        <v>374178.02</v>
      </c>
      <c r="K632" s="342">
        <f t="shared" ca="1" si="129"/>
        <v>10.812353575495754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IFERROR(__xludf.DUMMYFUNCTION("IMPORTRANGE(""https://docs.google.com/spreadsheets/d/11923uPwbBZFjjGgGUA6NLw09EwE0CqkOc4q9oUmW1yo/edit?usp=sharing"",""ลำพูน!I528"")"),468)</f>
        <v>468</v>
      </c>
      <c r="J633" s="341">
        <f ca="1">IFERROR(__xludf.DUMMYFUNCTION("IMPORTRANGE(""https://docs.google.com/spreadsheets/d/11923uPwbBZFjjGgGUA6NLw09EwE0CqkOc4q9oUmW1yo/edit?usp=sharing"",""ลำพูน!J528"")"),147)</f>
        <v>147</v>
      </c>
      <c r="K633" s="342">
        <f t="shared" ca="1" si="129"/>
        <v>31.410256410256409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IFERROR(__xludf.DUMMYFUNCTION("IMPORTRANGE(""https://docs.google.com/spreadsheets/d/11923uPwbBZFjjGgGUA6NLw09EwE0CqkOc4q9oUmW1yo/edit?usp=sharing"",""ลำพูน!I529"")"),7000000)</f>
        <v>7000000</v>
      </c>
      <c r="J634" s="341">
        <f ca="1">IFERROR(__xludf.DUMMYFUNCTION("IMPORTRANGE(""https://docs.google.com/spreadsheets/d/11923uPwbBZFjjGgGUA6NLw09EwE0CqkOc4q9oUmW1yo/edit?usp=sharing"",""ลำพูน!J529"")"),5440000)</f>
        <v>5440000</v>
      </c>
      <c r="K634" s="342">
        <f t="shared" ca="1" si="129"/>
        <v>77.714285714285708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IFERROR(__xludf.DUMMYFUNCTION("IMPORTRANGE(""https://docs.google.com/spreadsheets/d/11923uPwbBZFjjGgGUA6NLw09EwE0CqkOc4q9oUmW1yo/edit?usp=sharing"",""ลำพูน!I530"")"),230)</f>
        <v>230</v>
      </c>
      <c r="J635" s="505">
        <f ca="1">IFERROR(__xludf.DUMMYFUNCTION("IMPORTRANGE(""https://docs.google.com/spreadsheets/d/11923uPwbBZFjjGgGUA6NLw09EwE0CqkOc4q9oUmW1yo/edit?usp=sharing"",""ลำพูน!J530"")"),176)</f>
        <v>176</v>
      </c>
      <c r="K635" s="487">
        <f t="shared" ca="1" si="129"/>
        <v>76.521739130434781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33500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33500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33500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IFERROR(__xludf.DUMMYFUNCTION("IMPORTRANGE(""https://docs.google.com/spreadsheets/d/11923uPwbBZFjjGgGUA6NLw09EwE0CqkOc4q9oUmW1yo/edit?usp=sharing"",""ลำพูน!J541"")"),0)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IFERROR(__xludf.DUMMYFUNCTION("IMPORTRANGE(""https://docs.google.com/spreadsheets/d/11923uPwbBZFjjGgGUA6NLw09EwE0CqkOc4q9oUmW1yo/edit?usp=sharing"",""ลำพูน!J542"")"),0)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IFERROR(__xludf.DUMMYFUNCTION("IMPORTRANGE(""https://docs.google.com/spreadsheets/d/11923uPwbBZFjjGgGUA6NLw09EwE0CqkOc4q9oUmW1yo/edit?usp=sharing"",""ลำพูน!I543"")"),0)</f>
        <v>0</v>
      </c>
      <c r="J648" s="536">
        <f ca="1">IFERROR(__xludf.DUMMYFUNCTION("IMPORTRANGE(""https://docs.google.com/spreadsheets/d/11923uPwbBZFjjGgGUA6NLw09EwE0CqkOc4q9oUmW1yo/edit?usp=sharing"",""ลำพูน!J543"")"),0)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IFERROR(__xludf.DUMMYFUNCTION("IMPORTRANGE(""https://docs.google.com/spreadsheets/d/11923uPwbBZFjjGgGUA6NLw09EwE0CqkOc4q9oUmW1yo/edit?usp=sharing"",""ลำพูน!L543"")"),0)</f>
        <v>0</v>
      </c>
      <c r="M648" s="521"/>
      <c r="N648" s="538">
        <f ca="1">IFERROR(__xludf.DUMMYFUNCTION("IMPORTRANGE(""https://docs.google.com/spreadsheets/d/11923uPwbBZFjjGgGUA6NLw09EwE0CqkOc4q9oUmW1yo/edit?usp=sharing"",""ลำพูน!M543"")"),0)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IFERROR(__xludf.DUMMYFUNCTION("IMPORTRANGE(""https://docs.google.com/spreadsheets/d/11923uPwbBZFjjGgGUA6NLw09EwE0CqkOc4q9oUmW1yo/edit?usp=sharing"",""ลำพูน!I544"")"),24)</f>
        <v>24</v>
      </c>
      <c r="J649" s="536">
        <f ca="1">IFERROR(__xludf.DUMMYFUNCTION("IMPORTRANGE(""https://docs.google.com/spreadsheets/d/11923uPwbBZFjjGgGUA6NLw09EwE0CqkOc4q9oUmW1yo/edit?usp=sharing"",""ลำพูน!J544"")"),0)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IFERROR(__xludf.DUMMYFUNCTION("IMPORTRANGE(""https://docs.google.com/spreadsheets/d/11923uPwbBZFjjGgGUA6NLw09EwE0CqkOc4q9oUmW1yo/edit?usp=sharing"",""ลำพูน!L544"")"),2880)</f>
        <v>2880</v>
      </c>
      <c r="M649" s="521"/>
      <c r="N649" s="538">
        <f ca="1">IFERROR(__xludf.DUMMYFUNCTION("IMPORTRANGE(""https://docs.google.com/spreadsheets/d/11923uPwbBZFjjGgGUA6NLw09EwE0CqkOc4q9oUmW1yo/edit?usp=sharing"",""ลำพูน!M544"")"),0)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IFERROR(__xludf.DUMMYFUNCTION("IMPORTRANGE(""https://docs.google.com/spreadsheets/d/11923uPwbBZFjjGgGUA6NLw09EwE0CqkOc4q9oUmW1yo/edit?usp=sharing"",""ลำพูน!I545"")"),200)</f>
        <v>200</v>
      </c>
      <c r="J650" s="536">
        <f ca="1">IFERROR(__xludf.DUMMYFUNCTION("IMPORTRANGE(""https://docs.google.com/spreadsheets/d/11923uPwbBZFjjGgGUA6NLw09EwE0CqkOc4q9oUmW1yo/edit?usp=sharing"",""ลำพูน!J545"")"),0)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IFERROR(__xludf.DUMMYFUNCTION("IMPORTRANGE(""https://docs.google.com/spreadsheets/d/11923uPwbBZFjjGgGUA6NLw09EwE0CqkOc4q9oUmW1yo/edit?usp=sharing"",""ลำพูน!L545"")"),1000)</f>
        <v>1000</v>
      </c>
      <c r="M650" s="521"/>
      <c r="N650" s="538">
        <f ca="1">IFERROR(__xludf.DUMMYFUNCTION("IMPORTRANGE(""https://docs.google.com/spreadsheets/d/11923uPwbBZFjjGgGUA6NLw09EwE0CqkOc4q9oUmW1yo/edit?usp=sharing"",""ลำพูน!M545"")"),0)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IFERROR(__xludf.DUMMYFUNCTION("IMPORTRANGE(""https://docs.google.com/spreadsheets/d/11923uPwbBZFjjGgGUA6NLw09EwE0CqkOc4q9oUmW1yo/edit?usp=sharing"",""ลำพูน!I546"")"),100)</f>
        <v>100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IFERROR(__xludf.DUMMYFUNCTION("IMPORTRANGE(""https://docs.google.com/spreadsheets/d/11923uPwbBZFjjGgGUA6NLw09EwE0CqkOc4q9oUmW1yo/edit?usp=sharing"",""ลำพูน!L546"")"),2500)</f>
        <v>2500</v>
      </c>
      <c r="M651" s="521"/>
      <c r="N651" s="538">
        <f ca="1">IFERROR(__xludf.DUMMYFUNCTION("IMPORTRANGE(""https://docs.google.com/spreadsheets/d/11923uPwbBZFjjGgGUA6NLw09EwE0CqkOc4q9oUmW1yo/edit?usp=sharing"",""ลำพูน!M546"")"),0)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IFERROR(__xludf.DUMMYFUNCTION("IMPORTRANGE(""https://docs.google.com/spreadsheets/d/11923uPwbBZFjjGgGUA6NLw09EwE0CqkOc4q9oUmW1yo/edit?usp=sharing"",""ลำพูน!J547"")"),0)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IFERROR(__xludf.DUMMYFUNCTION("IMPORTRANGE(""https://docs.google.com/spreadsheets/d/11923uPwbBZFjjGgGUA6NLw09EwE0CqkOc4q9oUmW1yo/edit?usp=sharing"",""ลำพูน!J548"")"),0)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IFERROR(__xludf.DUMMYFUNCTION("IMPORTRANGE(""https://docs.google.com/spreadsheets/d/11923uPwbBZFjjGgGUA6NLw09EwE0CqkOc4q9oUmW1yo/edit?usp=sharing"",""ลำพูน!J550"")"),0)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IFERROR(__xludf.DUMMYFUNCTION("IMPORTRANGE(""https://docs.google.com/spreadsheets/d/11923uPwbBZFjjGgGUA6NLw09EwE0CqkOc4q9oUmW1yo/edit?usp=sharing"",""ลำพูน!J551"")"),0)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IFERROR(__xludf.DUMMYFUNCTION("IMPORTRANGE(""https://docs.google.com/spreadsheets/d/11923uPwbBZFjjGgGUA6NLw09EwE0CqkOc4q9oUmW1yo/edit?usp=sharing"",""ลำพูน!J552"")"),0)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IFERROR(__xludf.DUMMYFUNCTION("IMPORTRANGE(""https://docs.google.com/spreadsheets/d/11923uPwbBZFjjGgGUA6NLw09EwE0CqkOc4q9oUmW1yo/edit?usp=sharing"",""ลำพูน!J553"")"),0)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IFERROR(__xludf.DUMMYFUNCTION("IMPORTRANGE(""https://docs.google.com/spreadsheets/d/11923uPwbBZFjjGgGUA6NLw09EwE0CqkOc4q9oUmW1yo/edit?usp=sharing"",""ลำพูน!J554"")"),0)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IFERROR(__xludf.DUMMYFUNCTION("IMPORTRANGE(""https://docs.google.com/spreadsheets/d/11923uPwbBZFjjGgGUA6NLw09EwE0CqkOc4q9oUmW1yo/edit?usp=sharing"",""ลำพูน!J555"")"),0)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IFERROR(__xludf.DUMMYFUNCTION("IMPORTRANGE(""https://docs.google.com/spreadsheets/d/11923uPwbBZFjjGgGUA6NLw09EwE0CqkOc4q9oUmW1yo/edit?usp=sharing"",""ลำพูน!J556"")"),0)</f>
        <v>0</v>
      </c>
      <c r="K661" s="537"/>
      <c r="L661" s="522">
        <f ca="1">IFERROR(__xludf.DUMMYFUNCTION("IMPORTRANGE(""https://docs.google.com/spreadsheets/d/11923uPwbBZFjjGgGUA6NLw09EwE0CqkOc4q9oUmW1yo/edit?usp=sharing"",""ลำพูน!L556"")"),16000)</f>
        <v>16000</v>
      </c>
      <c r="M661" s="521"/>
      <c r="N661" s="538">
        <f ca="1">IFERROR(__xludf.DUMMYFUNCTION("IMPORTRANGE(""https://docs.google.com/spreadsheets/d/11923uPwbBZFjjGgGUA6NLw09EwE0CqkOc4q9oUmW1yo/edit?usp=sharing"",""ลำพูน!M556"")"),0)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IFERROR(__xludf.DUMMYFUNCTION("IMPORTRANGE(""https://docs.google.com/spreadsheets/d/11923uPwbBZFjjGgGUA6NLw09EwE0CqkOc4q9oUmW1yo/edit?usp=sharing"",""ลำพูน!J557"")"),0)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IFERROR(__xludf.DUMMYFUNCTION("IMPORTRANGE(""https://docs.google.com/spreadsheets/d/11923uPwbBZFjjGgGUA6NLw09EwE0CqkOc4q9oUmW1yo/edit?usp=sharing"",""ลำพูน!I558"")"),400)</f>
        <v>400</v>
      </c>
      <c r="J663" s="536">
        <f ca="1">IFERROR(__xludf.DUMMYFUNCTION("IMPORTRANGE(""https://docs.google.com/spreadsheets/d/11923uPwbBZFjjGgGUA6NLw09EwE0CqkOc4q9oUmW1yo/edit?usp=sharing"",""ลำพูน!J558"")"),0)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IFERROR(__xludf.DUMMYFUNCTION("IMPORTRANGE(""https://docs.google.com/spreadsheets/d/11923uPwbBZFjjGgGUA6NLw09EwE0CqkOc4q9oUmW1yo/edit?usp=sharing"",""ลำพูน!I560"")"),20)</f>
        <v>20</v>
      </c>
      <c r="J665" s="536">
        <f ca="1">IFERROR(__xludf.DUMMYFUNCTION("IMPORTRANGE(""https://docs.google.com/spreadsheets/d/11923uPwbBZFjjGgGUA6NLw09EwE0CqkOc4q9oUmW1yo/edit?usp=sharing"",""ลำพูน!J560"")"),0)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IFERROR(__xludf.DUMMYFUNCTION("IMPORTRANGE(""https://docs.google.com/spreadsheets/d/11923uPwbBZFjjGgGUA6NLw09EwE0CqkOc4q9oUmW1yo/edit?usp=sharing"",""ลำพูน!L560"")"),2400)</f>
        <v>2400</v>
      </c>
      <c r="M665" s="521"/>
      <c r="N665" s="538">
        <f ca="1">IFERROR(__xludf.DUMMYFUNCTION("IMPORTRANGE(""https://docs.google.com/spreadsheets/d/11923uPwbBZFjjGgGUA6NLw09EwE0CqkOc4q9oUmW1yo/edit?usp=sharing"",""ลำพูน!M560"")"),0)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IFERROR(__xludf.DUMMYFUNCTION("IMPORTRANGE(""https://docs.google.com/spreadsheets/d/11923uPwbBZFjjGgGUA6NLw09EwE0CqkOc4q9oUmW1yo/edit?usp=sharing"",""ลำพูน!J561"")"),0)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IFERROR(__xludf.DUMMYFUNCTION("IMPORTRANGE(""https://docs.google.com/spreadsheets/d/11923uPwbBZFjjGgGUA6NLw09EwE0CqkOc4q9oUmW1yo/edit?usp=sharing"",""ลำพูน!J562"")"),0)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IFERROR(__xludf.DUMMYFUNCTION("IMPORTRANGE(""https://docs.google.com/spreadsheets/d/11923uPwbBZFjjGgGUA6NLw09EwE0CqkOc4q9oUmW1yo/edit?usp=sharing"",""ลำพูน!I563"")"),6)</f>
        <v>6</v>
      </c>
      <c r="J668" s="536">
        <f ca="1">IFERROR(__xludf.DUMMYFUNCTION("IMPORTRANGE(""https://docs.google.com/spreadsheets/d/11923uPwbBZFjjGgGUA6NLw09EwE0CqkOc4q9oUmW1yo/edit?usp=sharing"",""ลำพูน!J563"")"),0)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IFERROR(__xludf.DUMMYFUNCTION("IMPORTRANGE(""https://docs.google.com/spreadsheets/d/11923uPwbBZFjjGgGUA6NLw09EwE0CqkOc4q9oUmW1yo/edit?usp=sharing"",""ลำพูน!L563"")"),5520)</f>
        <v>5520</v>
      </c>
      <c r="M668" s="521"/>
      <c r="N668" s="538">
        <f ca="1">IFERROR(__xludf.DUMMYFUNCTION("IMPORTRANGE(""https://docs.google.com/spreadsheets/d/11923uPwbBZFjjGgGUA6NLw09EwE0CqkOc4q9oUmW1yo/edit?usp=sharing"",""ลำพูน!M563"")"),0)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IFERROR(__xludf.DUMMYFUNCTION("IMPORTRANGE(""https://docs.google.com/spreadsheets/d/11923uPwbBZFjjGgGUA6NLw09EwE0CqkOc4q9oUmW1yo/edit?usp=sharing"",""ลำพูน!J564"")"),0)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IFERROR(__xludf.DUMMYFUNCTION("IMPORTRANGE(""https://docs.google.com/spreadsheets/d/11923uPwbBZFjjGgGUA6NLw09EwE0CqkOc4q9oUmW1yo/edit?usp=sharing"",""ลำพูน!J565"")"),0)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IFERROR(__xludf.DUMMYFUNCTION("IMPORTRANGE(""https://docs.google.com/spreadsheets/d/11923uPwbBZFjjGgGUA6NLw09EwE0CqkOc4q9oUmW1yo/edit?usp=sharing"",""ลำพูน!I566"")"),40)</f>
        <v>40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IFERROR(__xludf.DUMMYFUNCTION("IMPORTRANGE(""https://docs.google.com/spreadsheets/d/11923uPwbBZFjjGgGUA6NLw09EwE0CqkOc4q9oUmW1yo/edit?usp=sharing"",""ลำพูน!L566"")"),3200)</f>
        <v>3200</v>
      </c>
      <c r="M671" s="521"/>
      <c r="N671" s="538">
        <f ca="1">IFERROR(__xludf.DUMMYFUNCTION("IMPORTRANGE(""https://docs.google.com/spreadsheets/d/11923uPwbBZFjjGgGUA6NLw09EwE0CqkOc4q9oUmW1yo/edit?usp=sharing"",""ลำพูน!M566"")"),0)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IFERROR(__xludf.DUMMYFUNCTION("IMPORTRANGE(""https://docs.google.com/spreadsheets/d/11923uPwbBZFjjGgGUA6NLw09EwE0CqkOc4q9oUmW1yo/edit?usp=sharing"",""ลำพูน!J567"")"),0)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IFERROR(__xludf.DUMMYFUNCTION("IMPORTRANGE(""https://docs.google.com/spreadsheets/d/11923uPwbBZFjjGgGUA6NLw09EwE0CqkOc4q9oUmW1yo/edit?usp=sharing"",""ลำพูน!J568"")"),0)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IFERROR(__xludf.DUMMYFUNCTION("IMPORTRANGE(""https://docs.google.com/spreadsheets/d/11923uPwbBZFjjGgGUA6NLw09EwE0CqkOc4q9oUmW1yo/edit?usp=sharing"",""ลำพูน!J569"")"),0)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IFERROR(__xludf.DUMMYFUNCTION("IMPORTRANGE(""https://docs.google.com/spreadsheets/d/11923uPwbBZFjjGgGUA6NLw09EwE0CqkOc4q9oUmW1yo/edit?usp=sharing"",""ลำพูน!J570"")"),0)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IFERROR(__xludf.DUMMYFUNCTION("IMPORTRANGE(""https://docs.google.com/spreadsheets/d/11923uPwbBZFjjGgGUA6NLw09EwE0CqkOc4q9oUmW1yo/edit?usp=sharing"",""ลำพูน!J571"")"),0)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IFERROR(__xludf.DUMMYFUNCTION("IMPORTRANGE(""https://docs.google.com/spreadsheets/d/11923uPwbBZFjjGgGUA6NLw09EwE0CqkOc4q9oUmW1yo/edit?usp=sharing"",""ลำพูน!J572"")"),0)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3:P3"/>
    <mergeCell ref="A2:P2"/>
    <mergeCell ref="A1:P1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288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5477348</v>
      </c>
      <c r="M8" s="23">
        <f t="shared" ca="1" si="0"/>
        <v>3841776</v>
      </c>
      <c r="N8" s="23">
        <f t="shared" ca="1" si="0"/>
        <v>4130813.8599999994</v>
      </c>
      <c r="O8" s="22">
        <f t="shared" ref="O8:O16" ca="1" si="1">IF(L8&gt;0,N8*100/L8,0)</f>
        <v>75.416312054665866</v>
      </c>
      <c r="P8" s="22">
        <f t="shared" ref="P8:P16" ca="1" si="2">IF(M8&gt;0,N8*100/M8,0)</f>
        <v>107.52354796323365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5477348</v>
      </c>
      <c r="M10" s="30">
        <f t="shared" ca="1" si="4"/>
        <v>3841776</v>
      </c>
      <c r="N10" s="30">
        <f t="shared" ca="1" si="4"/>
        <v>4130813.8599999994</v>
      </c>
      <c r="O10" s="29">
        <f t="shared" ca="1" si="1"/>
        <v>75.416312054665866</v>
      </c>
      <c r="P10" s="29">
        <f t="shared" ca="1" si="2"/>
        <v>107.52354796323365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5301348</v>
      </c>
      <c r="M12" s="39">
        <f t="shared" ca="1" si="6"/>
        <v>3665776</v>
      </c>
      <c r="N12" s="39">
        <f t="shared" ca="1" si="6"/>
        <v>3954813.8599999994</v>
      </c>
      <c r="O12" s="39">
        <f t="shared" ca="1" si="1"/>
        <v>74.600155658523065</v>
      </c>
      <c r="P12" s="39">
        <f t="shared" ca="1" si="2"/>
        <v>107.8847660086159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2053100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3248248</v>
      </c>
      <c r="M14" s="39">
        <f t="shared" si="8"/>
        <v>0</v>
      </c>
      <c r="N14" s="39">
        <f t="shared" ca="1" si="8"/>
        <v>1168941.3299999998</v>
      </c>
      <c r="O14" s="39">
        <f t="shared" ca="1" si="1"/>
        <v>35.986825205464605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176000</v>
      </c>
      <c r="M16" s="39">
        <f t="shared" ca="1" si="10"/>
        <v>176000</v>
      </c>
      <c r="N16" s="39">
        <f t="shared" ca="1" si="10"/>
        <v>176000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3474365</v>
      </c>
      <c r="M18" s="23">
        <f t="shared" ca="1" si="11"/>
        <v>3841776</v>
      </c>
      <c r="N18" s="23">
        <f t="shared" ca="1" si="11"/>
        <v>2961872.53</v>
      </c>
      <c r="O18" s="22">
        <f t="shared" ref="O18:O20" ca="1" si="12">IF(L18&gt;0,N18*100/L18,0)</f>
        <v>85.249319803762702</v>
      </c>
      <c r="P18" s="22">
        <f t="shared" ref="P18:P26" ca="1" si="13">IF(M18&gt;0,N18*100/M18,0)</f>
        <v>77.096440031901906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3474365</v>
      </c>
      <c r="M20" s="30">
        <f t="shared" ca="1" si="15"/>
        <v>3841776</v>
      </c>
      <c r="N20" s="30">
        <f t="shared" ca="1" si="15"/>
        <v>2961872.53</v>
      </c>
      <c r="O20" s="29">
        <f t="shared" ca="1" si="12"/>
        <v>85.249319803762702</v>
      </c>
      <c r="P20" s="29">
        <f t="shared" ca="1" si="13"/>
        <v>77.096440031901906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3298365</v>
      </c>
      <c r="M22" s="42">
        <f t="shared" ca="1" si="18"/>
        <v>3665776</v>
      </c>
      <c r="N22" s="39">
        <f t="shared" ca="1" si="18"/>
        <v>2785872.53</v>
      </c>
      <c r="O22" s="39">
        <f t="shared" ca="1" si="17"/>
        <v>84.46222689120215</v>
      </c>
      <c r="P22" s="39">
        <f t="shared" ca="1" si="13"/>
        <v>75.996802041368596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2053100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1245265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176000</v>
      </c>
      <c r="M26" s="50">
        <f t="shared" ca="1" si="22"/>
        <v>176000</v>
      </c>
      <c r="N26" s="50">
        <f t="shared" ca="1" si="22"/>
        <v>176000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2002983</v>
      </c>
      <c r="M28" s="23">
        <f t="shared" si="23"/>
        <v>0</v>
      </c>
      <c r="N28" s="23">
        <f t="shared" ca="1" si="23"/>
        <v>1168941.3299999998</v>
      </c>
      <c r="O28" s="22">
        <f t="shared" ref="O28:O30" ca="1" si="24">IF(L28&gt;0,N28*100/L28,0)</f>
        <v>58.360022526401863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2002983</v>
      </c>
      <c r="M30" s="30">
        <f t="shared" si="27"/>
        <v>0</v>
      </c>
      <c r="N30" s="30">
        <f t="shared" ca="1" si="27"/>
        <v>1168941.3299999998</v>
      </c>
      <c r="O30" s="29">
        <f t="shared" ca="1" si="24"/>
        <v>58.360022526401863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2002983</v>
      </c>
      <c r="M32" s="39">
        <f t="shared" si="30"/>
        <v>0</v>
      </c>
      <c r="N32" s="39">
        <f t="shared" ca="1" si="30"/>
        <v>1168941.3299999998</v>
      </c>
      <c r="O32" s="39">
        <f t="shared" ca="1" si="29"/>
        <v>58.360022526401863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2002983</v>
      </c>
      <c r="M34" s="39">
        <f t="shared" si="32"/>
        <v>0</v>
      </c>
      <c r="N34" s="39">
        <f t="shared" ca="1" si="32"/>
        <v>1168941.3299999998</v>
      </c>
      <c r="O34" s="39">
        <f t="shared" ca="1" si="29"/>
        <v>58.360022526401863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3474365</v>
      </c>
      <c r="M37" s="55">
        <f t="shared" ca="1" si="33"/>
        <v>3841776</v>
      </c>
      <c r="N37" s="55">
        <f t="shared" ca="1" si="33"/>
        <v>2961872.53</v>
      </c>
      <c r="O37" s="56">
        <f t="shared" ca="1" si="29"/>
        <v>85.249319803762702</v>
      </c>
      <c r="P37" s="56">
        <f t="shared" ca="1" si="25"/>
        <v>77.096440031901906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777100</v>
      </c>
      <c r="M41" s="79">
        <f t="shared" ca="1" si="34"/>
        <v>823020</v>
      </c>
      <c r="N41" s="79">
        <f t="shared" ca="1" si="34"/>
        <v>601424.94999999995</v>
      </c>
      <c r="O41" s="78">
        <f t="shared" ref="O41:O43" ca="1" si="35">IF(L41&gt;0,N41*100/L41,0)</f>
        <v>77.393507914039361</v>
      </c>
      <c r="P41" s="78">
        <f t="shared" ref="P41:P43" ca="1" si="36">IF(M41&gt;0,N41*100/M41,0)</f>
        <v>73.075374839007551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777100</v>
      </c>
      <c r="M43" s="79">
        <f t="shared" ca="1" si="38"/>
        <v>823020</v>
      </c>
      <c r="N43" s="79">
        <f t="shared" ca="1" si="38"/>
        <v>601424.94999999995</v>
      </c>
      <c r="O43" s="78">
        <f t="shared" ca="1" si="35"/>
        <v>77.393507914039361</v>
      </c>
      <c r="P43" s="78">
        <f t="shared" ca="1" si="36"/>
        <v>73.075374839007551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751100</v>
      </c>
      <c r="M45" s="50">
        <f ca="1">IFERROR(__xludf.DUMMYFUNCTION("IMPORTRANGE(""https://docs.google.com/spreadsheets/d/1Yj_ptqi66GCucihVvJfMjLAmec39IyEx_6qawtMGysU/edit?usp=sharing"",""สบก!Q34"")"),797020)</f>
        <v>797020</v>
      </c>
      <c r="N45" s="50">
        <f ca="1">IFERROR(__xludf.DUMMYFUNCTION("IMPORTRANGE(""https://docs.google.com/spreadsheets/d/1Yj_ptqi66GCucihVvJfMjLAmec39IyEx_6qawtMGysU/edit?usp=sharing"",""สบก!R34"")"),575424.95)</f>
        <v>575424.94999999995</v>
      </c>
      <c r="O45" s="39">
        <f ca="1">IF(L45&gt;0,N45*100/L45,0)</f>
        <v>76.610963919584606</v>
      </c>
      <c r="P45" s="39">
        <f ca="1">IF(M45&gt;0,N45*100/M45,0)</f>
        <v>72.197052771574107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IFERROR(__xludf.DUMMYFUNCTION("IMPORTRANGE(""https://docs.google.com/spreadsheets/d/1Yj_ptqi66GCucihVvJfMjLAmec39IyEx_6qawtMGysU/edit?usp=sharing"",""สบก!M34"")"),751100)</f>
        <v>751100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IFERROR(__xludf.DUMMYFUNCTION("IMPORTRANGE(""https://docs.google.com/spreadsheets/d/1Yj_ptqi66GCucihVvJfMjLAmec39IyEx_6qawtMGysU/edit?usp=sharing"",""สบก!N34"")"),0)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IFERROR(__xludf.DUMMYFUNCTION("IMPORTRANGE(""https://docs.google.com/spreadsheets/d/1Yj_ptqi66GCucihVvJfMjLAmec39IyEx_6qawtMGysU/edit?usp=sharing"",""สบก!O34"")"),26000)</f>
        <v>26000</v>
      </c>
      <c r="M49" s="50">
        <f ca="1">L49</f>
        <v>26000</v>
      </c>
      <c r="N49" s="50">
        <f ca="1">IFERROR(__xludf.DUMMYFUNCTION("IMPORTRANGE(""https://docs.google.com/spreadsheets/d/1Yj_ptqi66GCucihVvJfMjLAmec39IyEx_6qawtMGysU/edit?usp=sharing"",""สบก!S34"")"),26000)</f>
        <v>26000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477777</v>
      </c>
      <c r="N53" s="121">
        <f t="shared" ca="1" si="39"/>
        <v>471840.84</v>
      </c>
      <c r="O53" s="120">
        <f t="shared" ref="O53:O55" ca="1" si="40">IF(L53&gt;0,N53*100/L53,0)</f>
        <v>104.85352</v>
      </c>
      <c r="P53" s="120">
        <f t="shared" ref="P53:P55" ca="1" si="41">IF(M53&gt;0,N53*100/M53,0)</f>
        <v>98.757545884377024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477777</v>
      </c>
      <c r="N55" s="121">
        <f t="shared" ca="1" si="43"/>
        <v>471840.84</v>
      </c>
      <c r="O55" s="120">
        <f t="shared" ca="1" si="40"/>
        <v>104.85352</v>
      </c>
      <c r="P55" s="120">
        <f t="shared" ca="1" si="41"/>
        <v>98.757545884377024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IFERROR(__xludf.DUMMYFUNCTION("IMPORTRANGE(""https://docs.google.com/spreadsheets/d/1Yj_ptqi66GCucihVvJfMjLAmec39IyEx_6qawtMGysU/edit?usp=sharing"",""สบก!Z34"")"),477777)</f>
        <v>477777</v>
      </c>
      <c r="N57" s="50">
        <f ca="1">IFERROR(__xludf.DUMMYFUNCTION("IMPORTRANGE(""https://docs.google.com/spreadsheets/d/1Yj_ptqi66GCucihVvJfMjLAmec39IyEx_6qawtMGysU/edit?usp=sharing"",""สบก!AA34"")"),471840.84)</f>
        <v>471840.84</v>
      </c>
      <c r="O57" s="39">
        <f ca="1">IF(L57&gt;0,N57*100/L57,0)</f>
        <v>104.85352</v>
      </c>
      <c r="P57" s="39">
        <f ca="1">IF(M57&gt;0,N57*100/M57,0)</f>
        <v>98.757545884377024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IFERROR(__xludf.DUMMYFUNCTION("IMPORTRANGE(""https://docs.google.com/spreadsheets/d/1Yj_ptqi66GCucihVvJfMjLAmec39IyEx_6qawtMGysU/edit?usp=sharing"",""สบก!V34"")"),450000)</f>
        <v>450000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IFERROR(__xludf.DUMMYFUNCTION("IMPORTRANGE(""https://docs.google.com/spreadsheets/d/1Yj_ptqi66GCucihVvJfMjLAmec39IyEx_6qawtMGysU/edit?usp=sharing"",""สบก!W34"")"),0)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IFERROR(__xludf.DUMMYFUNCTION("IMPORTRANGE(""https://docs.google.com/spreadsheets/d/1Yj_ptqi66GCucihVvJfMjLAmec39IyEx_6qawtMGysU/edit?usp=sharing"",""สบก!X34"")"),0)</f>
        <v>0</v>
      </c>
      <c r="M61" s="50"/>
      <c r="N61" s="50">
        <f ca="1">IFERROR(__xludf.DUMMYFUNCTION("IMPORTRANGE(""https://docs.google.com/spreadsheets/d/1Yj_ptqi66GCucihVvJfMjLAmec39IyEx_6qawtMGysU/edit?usp=sharing"",""สบก!AB34"")"),0)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IFERROR(__xludf.DUMMYFUNCTION("IMPORTRANGE(""https://docs.google.com/spreadsheets/d/11923uPwbBZFjjGgGUA6NLw09EwE0CqkOc4q9oUmW1yo/edit?usp=sharing"",""สุโขทัย!I9"")"),1)</f>
        <v>1</v>
      </c>
      <c r="J64" s="142">
        <f ca="1">IFERROR(__xludf.DUMMYFUNCTION("IMPORTRANGE(""https://docs.google.com/spreadsheets/d/11923uPwbBZFjjGgGUA6NLw09EwE0CqkOc4q9oUmW1yo/edit?usp=sharing"",""สุโขทัย!J9"")"),1)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IFERROR(__xludf.DUMMYFUNCTION("IMPORTRANGE(""https://docs.google.com/spreadsheets/d/11923uPwbBZFjjGgGUA6NLw09EwE0CqkOc4q9oUmW1yo/edit?usp=sharing"",""สุโขทัย!I10"")"),75)</f>
        <v>75</v>
      </c>
      <c r="J65" s="142">
        <f ca="1">IFERROR(__xludf.DUMMYFUNCTION("IMPORTRANGE(""https://docs.google.com/spreadsheets/d/11923uPwbBZFjjGgGUA6NLw09EwE0CqkOc4q9oUmW1yo/edit?usp=sharing"",""สุโขทัย!J10"")"),75)</f>
        <v>75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956800</v>
      </c>
      <c r="M66" s="152">
        <f t="shared" ca="1" si="45"/>
        <v>990820</v>
      </c>
      <c r="N66" s="152">
        <f t="shared" ca="1" si="45"/>
        <v>855872.61</v>
      </c>
      <c r="O66" s="151">
        <f t="shared" ref="O66:O68" ca="1" si="46">IF(L66&gt;0,N66*100/L66,0)</f>
        <v>89.451568770903009</v>
      </c>
      <c r="P66" s="151">
        <f t="shared" ref="P66:P68" ca="1" si="47">IF(M66&gt;0,N66*100/M66,0)</f>
        <v>86.380231525403204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956800</v>
      </c>
      <c r="M68" s="88">
        <f t="shared" ca="1" si="49"/>
        <v>990820</v>
      </c>
      <c r="N68" s="88">
        <f t="shared" ca="1" si="49"/>
        <v>855872.61</v>
      </c>
      <c r="O68" s="156">
        <f t="shared" ca="1" si="46"/>
        <v>89.451568770903009</v>
      </c>
      <c r="P68" s="156">
        <f t="shared" ca="1" si="47"/>
        <v>86.380231525403204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806800</v>
      </c>
      <c r="M70" s="167">
        <f ca="1">IFERROR(__xludf.DUMMYFUNCTION("IMPORTRANGE(""https://docs.google.com/spreadsheets/d/1Yj_ptqi66GCucihVvJfMjLAmec39IyEx_6qawtMGysU/edit?usp=sharing"",""สบก!AI34"")"),840820)</f>
        <v>840820</v>
      </c>
      <c r="N70" s="168">
        <f ca="1">IFERROR(__xludf.DUMMYFUNCTION("IMPORTRANGE(""https://docs.google.com/spreadsheets/d/1Yj_ptqi66GCucihVvJfMjLAmec39IyEx_6qawtMGysU/edit?usp=sharing"",""สบก!AJ34"")"),705872.61)</f>
        <v>705872.61</v>
      </c>
      <c r="O70" s="168">
        <f ca="1">IF(L70&gt;0,N70*100/L70,0)</f>
        <v>87.490407783837384</v>
      </c>
      <c r="P70" s="168">
        <f ca="1">IF(M70&gt;0,N70*100/M70,0)</f>
        <v>83.950501891011157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IFERROR(__xludf.DUMMYFUNCTION("IMPORTRANGE(""https://docs.google.com/spreadsheets/d/1Yj_ptqi66GCucihVvJfMjLAmec39IyEx_6qawtMGysU/edit?usp=sharing"",""สบก!AE34"")"),190800)</f>
        <v>190800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IFERROR(__xludf.DUMMYFUNCTION("IMPORTRANGE(""https://docs.google.com/spreadsheets/d/1Yj_ptqi66GCucihVvJfMjLAmec39IyEx_6qawtMGysU/edit?usp=sharing"",""สบก!AF34"")"),616000)</f>
        <v>616000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IFERROR(__xludf.DUMMYFUNCTION("IMPORTRANGE(""https://docs.google.com/spreadsheets/d/1Yj_ptqi66GCucihVvJfMjLAmec39IyEx_6qawtMGysU/edit?usp=sharing"",""สบก!AG34"")"),150000)</f>
        <v>150000</v>
      </c>
      <c r="M74" s="50">
        <f ca="1">L74</f>
        <v>150000</v>
      </c>
      <c r="N74" s="50">
        <f ca="1">IFERROR(__xludf.DUMMYFUNCTION("IMPORTRANGE(""https://docs.google.com/spreadsheets/d/1Yj_ptqi66GCucihVvJfMjLAmec39IyEx_6qawtMGysU/edit?usp=sharing"",""สบก!AK34"")"),150000)</f>
        <v>150000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IFERROR(__xludf.DUMMYFUNCTION("IMPORTRANGE(""https://docs.google.com/spreadsheets/d/11923uPwbBZFjjGgGUA6NLw09EwE0CqkOc4q9oUmW1yo/edit?usp=sharing"",""สุโขทัย!J16"")"),0)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IFERROR(__xludf.DUMMYFUNCTION("IMPORTRANGE(""https://docs.google.com/spreadsheets/d/11923uPwbBZFjjGgGUA6NLw09EwE0CqkOc4q9oUmW1yo/edit?usp=sharing"",""สุโขทัย!J17"")"),1)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IFERROR(__xludf.DUMMYFUNCTION("IMPORTRANGE(""https://docs.google.com/spreadsheets/d/11923uPwbBZFjjGgGUA6NLw09EwE0CqkOc4q9oUmW1yo/edit?usp=sharing"",""สุโขทัย!J18"")"),1)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IFERROR(__xludf.DUMMYFUNCTION("IMPORTRANGE(""https://docs.google.com/spreadsheets/d/11923uPwbBZFjjGgGUA6NLw09EwE0CqkOc4q9oUmW1yo/edit?usp=sharing"",""สุโขทัย!J19"")"),1)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IFERROR(__xludf.DUMMYFUNCTION("IMPORTRANGE(""https://docs.google.com/spreadsheets/d/11923uPwbBZFjjGgGUA6NLw09EwE0CqkOc4q9oUmW1yo/edit?usp=sharing"",""สุโขทัย!I20"")"),1)</f>
        <v>1</v>
      </c>
      <c r="J80" s="200">
        <f ca="1">IFERROR(__xludf.DUMMYFUNCTION("IMPORTRANGE(""https://docs.google.com/spreadsheets/d/11923uPwbBZFjjGgGUA6NLw09EwE0CqkOc4q9oUmW1yo/edit?usp=sharing"",""สุโขทัย!J20"")"),1)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IFERROR(__xludf.DUMMYFUNCTION("IMPORTRANGE(""https://docs.google.com/spreadsheets/d/11923uPwbBZFjjGgGUA6NLw09EwE0CqkOc4q9oUmW1yo/edit?usp=sharing"",""สุโขทัย!I21"")"),75)</f>
        <v>75</v>
      </c>
      <c r="J81" s="200">
        <f ca="1">IFERROR(__xludf.DUMMYFUNCTION("IMPORTRANGE(""https://docs.google.com/spreadsheets/d/11923uPwbBZFjjGgGUA6NLw09EwE0CqkOc4q9oUmW1yo/edit?usp=sharing"",""สุโขทัย!J21"")"),75)</f>
        <v>75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IFERROR(__xludf.DUMMYFUNCTION("IMPORTRANGE(""https://docs.google.com/spreadsheets/d/11923uPwbBZFjjGgGUA6NLw09EwE0CqkOc4q9oUmW1yo/edit?usp=sharing"",""สุโขทัย!I22"")"),0)</f>
        <v>0</v>
      </c>
      <c r="J82" s="203">
        <f ca="1">IFERROR(__xludf.DUMMYFUNCTION("IMPORTRANGE(""https://docs.google.com/spreadsheets/d/11923uPwbBZFjjGgGUA6NLw09EwE0CqkOc4q9oUmW1yo/edit?usp=sharing"",""สุโขทัย!J22"")"),0)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IFERROR(__xludf.DUMMYFUNCTION("IMPORTRANGE(""https://docs.google.com/spreadsheets/d/11923uPwbBZFjjGgGUA6NLw09EwE0CqkOc4q9oUmW1yo/edit?usp=sharing"",""สุโขทัย!I23"")"),0)</f>
        <v>0</v>
      </c>
      <c r="J83" s="203">
        <f ca="1">IFERROR(__xludf.DUMMYFUNCTION("IMPORTRANGE(""https://docs.google.com/spreadsheets/d/11923uPwbBZFjjGgGUA6NLw09EwE0CqkOc4q9oUmW1yo/edit?usp=sharing"",""สุโขทัย!J23"")"),0)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IFERROR(__xludf.DUMMYFUNCTION("IMPORTRANGE(""https://docs.google.com/spreadsheets/d/11923uPwbBZFjjGgGUA6NLw09EwE0CqkOc4q9oUmW1yo/edit?usp=sharing"",""สุโขทัย!I24"")"),1)</f>
        <v>1</v>
      </c>
      <c r="J84" s="188">
        <f ca="1">IFERROR(__xludf.DUMMYFUNCTION("IMPORTRANGE(""https://docs.google.com/spreadsheets/d/11923uPwbBZFjjGgGUA6NLw09EwE0CqkOc4q9oUmW1yo/edit?usp=sharing"",""สุโขทัย!J24"")"),1)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IFERROR(__xludf.DUMMYFUNCTION("IMPORTRANGE(""https://docs.google.com/spreadsheets/d/11923uPwbBZFjjGgGUA6NLw09EwE0CqkOc4q9oUmW1yo/edit?usp=sharing"",""สุโขทัย!I25"")"),75)</f>
        <v>75</v>
      </c>
      <c r="J85" s="188">
        <f ca="1">IFERROR(__xludf.DUMMYFUNCTION("IMPORTRANGE(""https://docs.google.com/spreadsheets/d/11923uPwbBZFjjGgGUA6NLw09EwE0CqkOc4q9oUmW1yo/edit?usp=sharing"",""สุโขทัย!J25"")"),75)</f>
        <v>75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IFERROR(__xludf.DUMMYFUNCTION("IMPORTRANGE(""https://docs.google.com/spreadsheets/d/11923uPwbBZFjjGgGUA6NLw09EwE0CqkOc4q9oUmW1yo/edit?usp=sharing"",""สุโขทัย!I26"")"),0)</f>
        <v>0</v>
      </c>
      <c r="J86" s="203">
        <f ca="1">IFERROR(__xludf.DUMMYFUNCTION("IMPORTRANGE(""https://docs.google.com/spreadsheets/d/11923uPwbBZFjjGgGUA6NLw09EwE0CqkOc4q9oUmW1yo/edit?usp=sharing"",""สุโขทัย!J26"")"),0)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IFERROR(__xludf.DUMMYFUNCTION("IMPORTRANGE(""https://docs.google.com/spreadsheets/d/11923uPwbBZFjjGgGUA6NLw09EwE0CqkOc4q9oUmW1yo/edit?usp=sharing"",""สุโขทัย!I27"")"),0)</f>
        <v>0</v>
      </c>
      <c r="J87" s="203">
        <f ca="1">IFERROR(__xludf.DUMMYFUNCTION("IMPORTRANGE(""https://docs.google.com/spreadsheets/d/11923uPwbBZFjjGgGUA6NLw09EwE0CqkOc4q9oUmW1yo/edit?usp=sharing"",""สุโขทัย!J27"")"),0)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IFERROR(__xludf.DUMMYFUNCTION("IMPORTRANGE(""https://docs.google.com/spreadsheets/d/11923uPwbBZFjjGgGUA6NLw09EwE0CqkOc4q9oUmW1yo/edit?usp=sharing"",""สุโขทัย!I28"")"),1)</f>
        <v>1</v>
      </c>
      <c r="J88" s="203">
        <f ca="1">IFERROR(__xludf.DUMMYFUNCTION("IMPORTRANGE(""https://docs.google.com/spreadsheets/d/11923uPwbBZFjjGgGUA6NLw09EwE0CqkOc4q9oUmW1yo/edit?usp=sharing"",""สุโขทัย!J28"")"),3)</f>
        <v>3</v>
      </c>
      <c r="K88" s="163">
        <f t="shared" ca="1" si="50"/>
        <v>300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IFERROR(__xludf.DUMMYFUNCTION("IMPORTRANGE(""https://docs.google.com/spreadsheets/d/11923uPwbBZFjjGgGUA6NLw09EwE0CqkOc4q9oUmW1yo/edit?usp=sharing"",""สุโขทัย!J29"")"),0)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IFERROR(__xludf.DUMMYFUNCTION("IMPORTRANGE(""https://docs.google.com/spreadsheets/d/11923uPwbBZFjjGgGUA6NLw09EwE0CqkOc4q9oUmW1yo/edit?usp=sharing"",""สุโขทัย!J30"")"),0)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IFERROR(__xludf.DUMMYFUNCTION("IMPORTRANGE(""https://docs.google.com/spreadsheets/d/11923uPwbBZFjjGgGUA6NLw09EwE0CqkOc4q9oUmW1yo/edit?usp=sharing"",""สุโขทัย!I32"")"),0)</f>
        <v>0</v>
      </c>
      <c r="J92" s="142">
        <f ca="1">IFERROR(__xludf.DUMMYFUNCTION("IMPORTRANGE(""https://docs.google.com/spreadsheets/d/11923uPwbBZFjjGgGUA6NLw09EwE0CqkOc4q9oUmW1yo/edit?usp=sharing"",""สุโขทัย!J32"")"),0)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IFERROR(__xludf.DUMMYFUNCTION("IMPORTRANGE(""https://docs.google.com/spreadsheets/d/11923uPwbBZFjjGgGUA6NLw09EwE0CqkOc4q9oUmW1yo/edit?usp=sharing"",""สุโขทัย!I33"")"),0)</f>
        <v>0</v>
      </c>
      <c r="J93" s="142">
        <f ca="1">IFERROR(__xludf.DUMMYFUNCTION("IMPORTRANGE(""https://docs.google.com/spreadsheets/d/11923uPwbBZFjjGgGUA6NLw09EwE0CqkOc4q9oUmW1yo/edit?usp=sharing"",""สุโขทัย!J33"")"),0)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IFERROR(__xludf.DUMMYFUNCTION("IMPORTRANGE(""https://docs.google.com/spreadsheets/d/1Yj_ptqi66GCucihVvJfMjLAmec39IyEx_6qawtMGysU/edit?usp=sharing"",""สบก!AR34"")"),0)</f>
        <v>0</v>
      </c>
      <c r="N98" s="168">
        <f ca="1">IFERROR(__xludf.DUMMYFUNCTION("IMPORTRANGE(""https://docs.google.com/spreadsheets/d/1Yj_ptqi66GCucihVvJfMjLAmec39IyEx_6qawtMGysU/edit?usp=sharing"",""สบก!AS34"")"),0)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IFERROR(__xludf.DUMMYFUNCTION("IMPORTRANGE(""https://docs.google.com/spreadsheets/d/1Yj_ptqi66GCucihVvJfMjLAmec39IyEx_6qawtMGysU/edit?usp=sharing"",""สบก!AN34"")"),0)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IFERROR(__xludf.DUMMYFUNCTION("IMPORTRANGE(""https://docs.google.com/spreadsheets/d/1Yj_ptqi66GCucihVvJfMjLAmec39IyEx_6qawtMGysU/edit?usp=sharing"",""สบก!AO34"")"),0)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IFERROR(__xludf.DUMMYFUNCTION("IMPORTRANGE(""https://docs.google.com/spreadsheets/d/1Yj_ptqi66GCucihVvJfMjLAmec39IyEx_6qawtMGysU/edit?usp=sharing"",""สบก!AP34"")"),0)</f>
        <v>0</v>
      </c>
      <c r="M102" s="50"/>
      <c r="N102" s="50">
        <f ca="1">IFERROR(__xludf.DUMMYFUNCTION("IMPORTRANGE(""https://docs.google.com/spreadsheets/d/1Yj_ptqi66GCucihVvJfMjLAmec39IyEx_6qawtMGysU/edit?usp=sharing"",""สบก!AT34"")"),0)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IFERROR(__xludf.DUMMYFUNCTION("IMPORTRANGE(""https://docs.google.com/spreadsheets/d/11923uPwbBZFjjGgGUA6NLw09EwE0CqkOc4q9oUmW1yo/edit?usp=sharing"",""สุโขทัย!J39"")"),0)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IFERROR(__xludf.DUMMYFUNCTION("IMPORTRANGE(""https://docs.google.com/spreadsheets/d/11923uPwbBZFjjGgGUA6NLw09EwE0CqkOc4q9oUmW1yo/edit?usp=sharing"",""สุโขทัย!J40"")"),0)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IFERROR(__xludf.DUMMYFUNCTION("IMPORTRANGE(""https://docs.google.com/spreadsheets/d/11923uPwbBZFjjGgGUA6NLw09EwE0CqkOc4q9oUmW1yo/edit?usp=sharing"",""สุโขทัย!J41"")"),0)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IFERROR(__xludf.DUMMYFUNCTION("IMPORTRANGE(""https://docs.google.com/spreadsheets/d/11923uPwbBZFjjGgGUA6NLw09EwE0CqkOc4q9oUmW1yo/edit?usp=sharing"",""สุโขทัย!J42"")"),0)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IFERROR(__xludf.DUMMYFUNCTION("IMPORTRANGE(""https://docs.google.com/spreadsheets/d/11923uPwbBZFjjGgGUA6NLw09EwE0CqkOc4q9oUmW1yo/edit?usp=sharing"",""สุโขทัย!I43"")"),0)</f>
        <v>0</v>
      </c>
      <c r="J108" s="203">
        <f ca="1">IFERROR(__xludf.DUMMYFUNCTION("IMPORTRANGE(""https://docs.google.com/spreadsheets/d/11923uPwbBZFjjGgGUA6NLw09EwE0CqkOc4q9oUmW1yo/edit?usp=sharing"",""สุโขทัย!J43"")"),0)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IFERROR(__xludf.DUMMYFUNCTION("IMPORTRANGE(""https://docs.google.com/spreadsheets/d/11923uPwbBZFjjGgGUA6NLw09EwE0CqkOc4q9oUmW1yo/edit?usp=sharing"",""สุโขทัย!I44"")"),0)</f>
        <v>0</v>
      </c>
      <c r="J109" s="203">
        <f ca="1">IFERROR(__xludf.DUMMYFUNCTION("IMPORTRANGE(""https://docs.google.com/spreadsheets/d/11923uPwbBZFjjGgGUA6NLw09EwE0CqkOc4q9oUmW1yo/edit?usp=sharing"",""สุโขทัย!J44"")"),0)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IFERROR(__xludf.DUMMYFUNCTION("IMPORTRANGE(""https://docs.google.com/spreadsheets/d/11923uPwbBZFjjGgGUA6NLw09EwE0CqkOc4q9oUmW1yo/edit?usp=sharing"",""สุโขทัย!I45"")"),0)</f>
        <v>0</v>
      </c>
      <c r="J110" s="203">
        <f ca="1">IFERROR(__xludf.DUMMYFUNCTION("IMPORTRANGE(""https://docs.google.com/spreadsheets/d/11923uPwbBZFjjGgGUA6NLw09EwE0CqkOc4q9oUmW1yo/edit?usp=sharing"",""สุโขทัย!J45"")"),0)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IFERROR(__xludf.DUMMYFUNCTION("IMPORTRANGE(""https://docs.google.com/spreadsheets/d/11923uPwbBZFjjGgGUA6NLw09EwE0CqkOc4q9oUmW1yo/edit?usp=sharing"",""สุโขทัย!I46"")"),0)</f>
        <v>0</v>
      </c>
      <c r="J111" s="203">
        <f ca="1">IFERROR(__xludf.DUMMYFUNCTION("IMPORTRANGE(""https://docs.google.com/spreadsheets/d/11923uPwbBZFjjGgGUA6NLw09EwE0CqkOc4q9oUmW1yo/edit?usp=sharing"",""สุโขทัย!J46"")"),0)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IFERROR(__xludf.DUMMYFUNCTION("IMPORTRANGE(""https://docs.google.com/spreadsheets/d/11923uPwbBZFjjGgGUA6NLw09EwE0CqkOc4q9oUmW1yo/edit?usp=sharing"",""สุโขทัย!I47"")"),0)</f>
        <v>0</v>
      </c>
      <c r="J112" s="203">
        <f ca="1">IFERROR(__xludf.DUMMYFUNCTION("IMPORTRANGE(""https://docs.google.com/spreadsheets/d/11923uPwbBZFjjGgGUA6NLw09EwE0CqkOc4q9oUmW1yo/edit?usp=sharing"",""สุโขทัย!J47"")"),0)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IFERROR(__xludf.DUMMYFUNCTION("IMPORTRANGE(""https://docs.google.com/spreadsheets/d/11923uPwbBZFjjGgGUA6NLw09EwE0CqkOc4q9oUmW1yo/edit?usp=sharing"",""สุโขทัย!I48"")"),0)</f>
        <v>0</v>
      </c>
      <c r="J113" s="203">
        <f ca="1">IFERROR(__xludf.DUMMYFUNCTION("IMPORTRANGE(""https://docs.google.com/spreadsheets/d/11923uPwbBZFjjGgGUA6NLw09EwE0CqkOc4q9oUmW1yo/edit?usp=sharing"",""สุโขทัย!J48"")"),0)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IFERROR(__xludf.DUMMYFUNCTION("IMPORTRANGE(""https://docs.google.com/spreadsheets/d/11923uPwbBZFjjGgGUA6NLw09EwE0CqkOc4q9oUmW1yo/edit?usp=sharing"",""สุโขทัย!J49"")"),0)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IFERROR(__xludf.DUMMYFUNCTION("IMPORTRANGE(""https://docs.google.com/spreadsheets/d/11923uPwbBZFjjGgGUA6NLw09EwE0CqkOc4q9oUmW1yo/edit?usp=sharing"",""สุโขทัย!J50"")"),0)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IFERROR(__xludf.DUMMYFUNCTION("IMPORTRANGE(""https://docs.google.com/spreadsheets/d/11923uPwbBZFjjGgGUA6NLw09EwE0CqkOc4q9oUmW1yo/edit?usp=sharing"",""สุโขทัย!I52"")"),20)</f>
        <v>20</v>
      </c>
      <c r="J117" s="142">
        <f ca="1">IFERROR(__xludf.DUMMYFUNCTION("IMPORTRANGE(""https://docs.google.com/spreadsheets/d/11923uPwbBZFjjGgGUA6NLw09EwE0CqkOc4q9oUmW1yo/edit?usp=sharing"",""สุโขทัย!J52"")"),20)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210494</v>
      </c>
      <c r="N118" s="152">
        <f t="shared" ca="1" si="58"/>
        <v>192367</v>
      </c>
      <c r="O118" s="151">
        <f t="shared" ref="O118:O120" ca="1" si="59">IF(L118&gt;0,N118*100/L118,0)</f>
        <v>233.34182435710821</v>
      </c>
      <c r="P118" s="151">
        <f t="shared" ref="P118:P120" ca="1" si="60">IF(M118&gt;0,N118*100/M118,0)</f>
        <v>91.388353112202722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210494</v>
      </c>
      <c r="N120" s="88">
        <f t="shared" ca="1" si="62"/>
        <v>192367</v>
      </c>
      <c r="O120" s="156">
        <f t="shared" ca="1" si="59"/>
        <v>233.34182435710821</v>
      </c>
      <c r="P120" s="156">
        <f t="shared" ca="1" si="60"/>
        <v>91.388353112202722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IFERROR(__xludf.DUMMYFUNCTION("IMPORTRANGE(""https://docs.google.com/spreadsheets/d/1Yj_ptqi66GCucihVvJfMjLAmec39IyEx_6qawtMGysU/edit?usp=sharing"",""สบก!BA34"")"),210494)</f>
        <v>210494</v>
      </c>
      <c r="N122" s="168">
        <f ca="1">IFERROR(__xludf.DUMMYFUNCTION("IMPORTRANGE(""https://docs.google.com/spreadsheets/d/1Yj_ptqi66GCucihVvJfMjLAmec39IyEx_6qawtMGysU/edit?usp=sharing"",""สบก!BB34"")"),192367)</f>
        <v>192367</v>
      </c>
      <c r="O122" s="168">
        <f ca="1">IF(L122&gt;0,N122*100/L122,0)</f>
        <v>233.34182435710821</v>
      </c>
      <c r="P122" s="168">
        <f ca="1">IF(M122&gt;0,N122*100/M122,0)</f>
        <v>91.388353112202722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IFERROR(__xludf.DUMMYFUNCTION("IMPORTRANGE(""https://docs.google.com/spreadsheets/d/1Yj_ptqi66GCucihVvJfMjLAmec39IyEx_6qawtMGysU/edit?usp=sharing"",""สบก!AW34"")"),0)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IFERROR(__xludf.DUMMYFUNCTION("IMPORTRANGE(""https://docs.google.com/spreadsheets/d/1Yj_ptqi66GCucihVvJfMjLAmec39IyEx_6qawtMGysU/edit?usp=sharing"",""สบก!AX34"")"),82440)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IFERROR(__xludf.DUMMYFUNCTION("IMPORTRANGE(""https://docs.google.com/spreadsheets/d/1Yj_ptqi66GCucihVvJfMjLAmec39IyEx_6qawtMGysU/edit?usp=sharing"",""สบก!AY34"")"),0)</f>
        <v>0</v>
      </c>
      <c r="M126" s="50"/>
      <c r="N126" s="50">
        <f ca="1">IFERROR(__xludf.DUMMYFUNCTION("IMPORTRANGE(""https://docs.google.com/spreadsheets/d/1Yj_ptqi66GCucihVvJfMjLAmec39IyEx_6qawtMGysU/edit?usp=sharing"",""สบก!BC34"")"),0)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IFERROR(__xludf.DUMMYFUNCTION("IMPORTRANGE(""https://docs.google.com/spreadsheets/d/11923uPwbBZFjjGgGUA6NLw09EwE0CqkOc4q9oUmW1yo/edit?usp=sharing"",""สุโขทัย!J58"")"),0)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IFERROR(__xludf.DUMMYFUNCTION("IMPORTRANGE(""https://docs.google.com/spreadsheets/d/11923uPwbBZFjjGgGUA6NLw09EwE0CqkOc4q9oUmW1yo/edit?usp=sharing"",""สุโขทัย!J59"")"),1)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IFERROR(__xludf.DUMMYFUNCTION("IMPORTRANGE(""https://docs.google.com/spreadsheets/d/11923uPwbBZFjjGgGUA6NLw09EwE0CqkOc4q9oUmW1yo/edit?usp=sharing"",""สุโขทัย!J60"")"),1)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IFERROR(__xludf.DUMMYFUNCTION("IMPORTRANGE(""https://docs.google.com/spreadsheets/d/11923uPwbBZFjjGgGUA6NLw09EwE0CqkOc4q9oUmW1yo/edit?usp=sharing"",""สุโขทัย!J61"")"),1)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IFERROR(__xludf.DUMMYFUNCTION("IMPORTRANGE(""https://docs.google.com/spreadsheets/d/11923uPwbBZFjjGgGUA6NLw09EwE0CqkOc4q9oUmW1yo/edit?usp=sharing"",""สุโขทัย!I62"")"),20)</f>
        <v>20</v>
      </c>
      <c r="J132" s="203">
        <f ca="1">IFERROR(__xludf.DUMMYFUNCTION("IMPORTRANGE(""https://docs.google.com/spreadsheets/d/11923uPwbBZFjjGgGUA6NLw09EwE0CqkOc4q9oUmW1yo/edit?usp=sharing"",""สุโขทัย!J62"")"),20)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IFERROR(__xludf.DUMMYFUNCTION("IMPORTRANGE(""https://docs.google.com/spreadsheets/d/11923uPwbBZFjjGgGUA6NLw09EwE0CqkOc4q9oUmW1yo/edit?usp=sharing"",""สุโขทัย!I63"")"),20)</f>
        <v>20</v>
      </c>
      <c r="J133" s="203">
        <f ca="1">IFERROR(__xludf.DUMMYFUNCTION("IMPORTRANGE(""https://docs.google.com/spreadsheets/d/11923uPwbBZFjjGgGUA6NLw09EwE0CqkOc4q9oUmW1yo/edit?usp=sharing"",""สุโขทัย!J63"")"),20)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IFERROR(__xludf.DUMMYFUNCTION("IMPORTRANGE(""https://docs.google.com/spreadsheets/d/11923uPwbBZFjjGgGUA6NLw09EwE0CqkOc4q9oUmW1yo/edit?usp=sharing"",""สุโขทัย!J64"")"),0)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IFERROR(__xludf.DUMMYFUNCTION("IMPORTRANGE(""https://docs.google.com/spreadsheets/d/11923uPwbBZFjjGgGUA6NLw09EwE0CqkOc4q9oUmW1yo/edit?usp=sharing"",""สุโขทัย!J65"")"),0)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IFERROR(__xludf.DUMMYFUNCTION("IMPORTRANGE(""https://docs.google.com/spreadsheets/d/11923uPwbBZFjjGgGUA6NLw09EwE0CqkOc4q9oUmW1yo/edit?usp=sharing"",""สุโขทัย!I68"")"),0)</f>
        <v>0</v>
      </c>
      <c r="J138" s="267">
        <f ca="1">IFERROR(__xludf.DUMMYFUNCTION("IMPORTRANGE(""https://docs.google.com/spreadsheets/d/11923uPwbBZFjjGgGUA6NLw09EwE0CqkOc4q9oUmW1yo/edit?usp=sharing"",""สุโขทัย!J68"")"),0)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138600</v>
      </c>
      <c r="N140" s="152">
        <f t="shared" ca="1" si="64"/>
        <v>87535</v>
      </c>
      <c r="O140" s="151">
        <f t="shared" ref="O140:O142" ca="1" si="65">IF(L140&gt;0,N140*100/L140,0)</f>
        <v>105.46385542168674</v>
      </c>
      <c r="P140" s="151">
        <f t="shared" ref="P140:P142" ca="1" si="66">IF(M140&gt;0,N140*100/M140,0)</f>
        <v>63.156565656565654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83000</v>
      </c>
      <c r="M142" s="88">
        <f t="shared" ca="1" si="68"/>
        <v>138600</v>
      </c>
      <c r="N142" s="88">
        <f t="shared" ca="1" si="68"/>
        <v>87535</v>
      </c>
      <c r="O142" s="156">
        <f t="shared" ca="1" si="65"/>
        <v>105.46385542168674</v>
      </c>
      <c r="P142" s="156">
        <f t="shared" ca="1" si="66"/>
        <v>63.156565656565654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83000</v>
      </c>
      <c r="M144" s="167">
        <f ca="1">IFERROR(__xludf.DUMMYFUNCTION("IMPORTRANGE(""https://docs.google.com/spreadsheets/d/1Yj_ptqi66GCucihVvJfMjLAmec39IyEx_6qawtMGysU/edit?usp=sharing"",""สบก!BJ34"")"),138600)</f>
        <v>138600</v>
      </c>
      <c r="N144" s="168">
        <f ca="1">IFERROR(__xludf.DUMMYFUNCTION("IMPORTRANGE(""https://docs.google.com/spreadsheets/d/1Yj_ptqi66GCucihVvJfMjLAmec39IyEx_6qawtMGysU/edit?usp=sharing"",""สบก!BK34"")"),87535)</f>
        <v>87535</v>
      </c>
      <c r="O144" s="168">
        <f ca="1">IF(L144&gt;0,N144*100/L144,0)</f>
        <v>105.46385542168674</v>
      </c>
      <c r="P144" s="168">
        <f ca="1">IF(M144&gt;0,N144*100/M144,0)</f>
        <v>63.156565656565654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IFERROR(__xludf.DUMMYFUNCTION("IMPORTRANGE(""https://docs.google.com/spreadsheets/d/1Yj_ptqi66GCucihVvJfMjLAmec39IyEx_6qawtMGysU/edit?usp=sharing"",""สบก!BF34"")"),0)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IFERROR(__xludf.DUMMYFUNCTION("IMPORTRANGE(""https://docs.google.com/spreadsheets/d/1Yj_ptqi66GCucihVvJfMjLAmec39IyEx_6qawtMGysU/edit?usp=sharing"",""สบก!BG34"")"),83000)</f>
        <v>83000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IFERROR(__xludf.DUMMYFUNCTION("IMPORTRANGE(""https://docs.google.com/spreadsheets/d/1Yj_ptqi66GCucihVvJfMjLAmec39IyEx_6qawtMGysU/edit?usp=sharing"",""สบก!BH34"")"),0)</f>
        <v>0</v>
      </c>
      <c r="M148" s="50"/>
      <c r="N148" s="50">
        <f ca="1">IFERROR(__xludf.DUMMYFUNCTION("IMPORTRANGE(""https://docs.google.com/spreadsheets/d/1Yj_ptqi66GCucihVvJfMjLAmec39IyEx_6qawtMGysU/edit?usp=sharing"",""สบก!BL34"")"),0)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IFERROR(__xludf.DUMMYFUNCTION("IMPORTRANGE(""https://docs.google.com/spreadsheets/d/11923uPwbBZFjjGgGUA6NLw09EwE0CqkOc4q9oUmW1yo/edit?usp=sharing"",""สุโขทัย!I74"")"),4)</f>
        <v>4</v>
      </c>
      <c r="J149" s="275">
        <f ca="1">IFERROR(__xludf.DUMMYFUNCTION("IMPORTRANGE(""https://docs.google.com/spreadsheets/d/11923uPwbBZFjjGgGUA6NLw09EwE0CqkOc4q9oUmW1yo/edit?usp=sharing"",""สุโขทัย!J74"")"),3)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IFERROR(__xludf.DUMMYFUNCTION("IMPORTRANGE(""https://docs.google.com/spreadsheets/d/11923uPwbBZFjjGgGUA6NLw09EwE0CqkOc4q9oUmW1yo/edit?usp=sharing"",""สุโขทัย!J79"")"),0)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IFERROR(__xludf.DUMMYFUNCTION("IMPORTRANGE(""https://docs.google.com/spreadsheets/d/11923uPwbBZFjjGgGUA6NLw09EwE0CqkOc4q9oUmW1yo/edit?usp=sharing"",""สุโขทัย!J80"")"),1)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IFERROR(__xludf.DUMMYFUNCTION("IMPORTRANGE(""https://docs.google.com/spreadsheets/d/11923uPwbBZFjjGgGUA6NLw09EwE0CqkOc4q9oUmW1yo/edit?usp=sharing"",""สุโขทัย!J81"")"),1)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IFERROR(__xludf.DUMMYFUNCTION("IMPORTRANGE(""https://docs.google.com/spreadsheets/d/11923uPwbBZFjjGgGUA6NLw09EwE0CqkOc4q9oUmW1yo/edit?usp=sharing"",""สุโขทัย!J82"")"),1)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IFERROR(__xludf.DUMMYFUNCTION("IMPORTRANGE(""https://docs.google.com/spreadsheets/d/11923uPwbBZFjjGgGUA6NLw09EwE0CqkOc4q9oUmW1yo/edit?usp=sharing"",""สุโขทัย!I83"")"),4)</f>
        <v>4</v>
      </c>
      <c r="J158" s="188">
        <f ca="1">IFERROR(__xludf.DUMMYFUNCTION("IMPORTRANGE(""https://docs.google.com/spreadsheets/d/11923uPwbBZFjjGgGUA6NLw09EwE0CqkOc4q9oUmW1yo/edit?usp=sharing"",""สุโขทัย!J83"")"),3)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IFERROR(__xludf.DUMMYFUNCTION("IMPORTRANGE(""https://docs.google.com/spreadsheets/d/11923uPwbBZFjjGgGUA6NLw09EwE0CqkOc4q9oUmW1yo/edit?usp=sharing"",""สุโขทัย!J84"")"),81)</f>
        <v>81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IFERROR(__xludf.DUMMYFUNCTION("IMPORTRANGE(""https://docs.google.com/spreadsheets/d/11923uPwbBZFjjGgGUA6NLw09EwE0CqkOc4q9oUmW1yo/edit?usp=sharing"",""สุโขทัย!J85"")"),81)</f>
        <v>81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IFERROR(__xludf.DUMMYFUNCTION("IMPORTRANGE(""https://docs.google.com/spreadsheets/d/11923uPwbBZFjjGgGUA6NLw09EwE0CqkOc4q9oUmW1yo/edit?usp=sharing"",""สุโขทัย!J86"")"),0)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IFERROR(__xludf.DUMMYFUNCTION("IMPORTRANGE(""https://docs.google.com/spreadsheets/d/11923uPwbBZFjjGgGUA6NLw09EwE0CqkOc4q9oUmW1yo/edit?usp=sharing"",""สุโขทัย!J87"")"),0)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IFERROR(__xludf.DUMMYFUNCTION("IMPORTRANGE(""https://docs.google.com/spreadsheets/d/11923uPwbBZFjjGgGUA6NLw09EwE0CqkOc4q9oUmW1yo/edit?usp=sharing"",""สุโขทัย!J88"")"),0)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IFERROR(__xludf.DUMMYFUNCTION("IMPORTRANGE(""https://docs.google.com/spreadsheets/d/11923uPwbBZFjjGgGUA6NLw09EwE0CqkOc4q9oUmW1yo/edit?usp=sharing"",""สุโขทัย!I89"")"),4)</f>
        <v>4</v>
      </c>
      <c r="J164" s="284">
        <f ca="1">IFERROR(__xludf.DUMMYFUNCTION("IMPORTRANGE(""https://docs.google.com/spreadsheets/d/11923uPwbBZFjjGgGUA6NLw09EwE0CqkOc4q9oUmW1yo/edit?usp=sharing"",""สุโขทัย!J89"")"),4)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IFERROR(__xludf.DUMMYFUNCTION("IMPORTRANGE(""https://docs.google.com/spreadsheets/d/11923uPwbBZFjjGgGUA6NLw09EwE0CqkOc4q9oUmW1yo/edit?usp=sharing"",""สุโขทัย!J94"")"),0)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IFERROR(__xludf.DUMMYFUNCTION("IMPORTRANGE(""https://docs.google.com/spreadsheets/d/11923uPwbBZFjjGgGUA6NLw09EwE0CqkOc4q9oUmW1yo/edit?usp=sharing"",""สุโขทัย!J95"")"),1)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IFERROR(__xludf.DUMMYFUNCTION("IMPORTRANGE(""https://docs.google.com/spreadsheets/d/11923uPwbBZFjjGgGUA6NLw09EwE0CqkOc4q9oUmW1yo/edit?usp=sharing"",""สุโขทัย!J96"")"),1)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IFERROR(__xludf.DUMMYFUNCTION("IMPORTRANGE(""https://docs.google.com/spreadsheets/d/11923uPwbBZFjjGgGUA6NLw09EwE0CqkOc4q9oUmW1yo/edit?usp=sharing"",""สุโขทัย!J97"")"),1)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IFERROR(__xludf.DUMMYFUNCTION("IMPORTRANGE(""https://docs.google.com/spreadsheets/d/11923uPwbBZFjjGgGUA6NLw09EwE0CqkOc4q9oUmW1yo/edit?usp=sharing"",""สุโขทัย!I98"")"),4)</f>
        <v>4</v>
      </c>
      <c r="J173" s="188">
        <f ca="1">IFERROR(__xludf.DUMMYFUNCTION("IMPORTRANGE(""https://docs.google.com/spreadsheets/d/11923uPwbBZFjjGgGUA6NLw09EwE0CqkOc4q9oUmW1yo/edit?usp=sharing"",""สุโขทัย!J98"")"),4)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IFERROR(__xludf.DUMMYFUNCTION("IMPORTRANGE(""https://docs.google.com/spreadsheets/d/11923uPwbBZFjjGgGUA6NLw09EwE0CqkOc4q9oUmW1yo/edit?usp=sharing"",""สุโขทัย!J99"")"),0)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IFERROR(__xludf.DUMMYFUNCTION("IMPORTRANGE(""https://docs.google.com/spreadsheets/d/11923uPwbBZFjjGgGUA6NLw09EwE0CqkOc4q9oUmW1yo/edit?usp=sharing"",""สุโขทัย!J100"")"),0)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IFERROR(__xludf.DUMMYFUNCTION("IMPORTRANGE(""https://docs.google.com/spreadsheets/d/11923uPwbBZFjjGgGUA6NLw09EwE0CqkOc4q9oUmW1yo/edit?usp=sharing"",""สุโขทัย!I101"")"),0)</f>
        <v>0</v>
      </c>
      <c r="J176" s="284">
        <f ca="1">IFERROR(__xludf.DUMMYFUNCTION("IMPORTRANGE(""https://docs.google.com/spreadsheets/d/11923uPwbBZFjjGgGUA6NLw09EwE0CqkOc4q9oUmW1yo/edit?usp=sharing"",""สุโขทัย!J101"")"),0)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IFERROR(__xludf.DUMMYFUNCTION("IMPORTRANGE(""https://docs.google.com/spreadsheets/d/11923uPwbBZFjjGgGUA6NLw09EwE0CqkOc4q9oUmW1yo/edit?usp=sharing"",""สุโขทัย!J106"")"),0)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IFERROR(__xludf.DUMMYFUNCTION("IMPORTRANGE(""https://docs.google.com/spreadsheets/d/11923uPwbBZFjjGgGUA6NLw09EwE0CqkOc4q9oUmW1yo/edit?usp=sharing"",""สุโขทัย!J107"")"),0)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IFERROR(__xludf.DUMMYFUNCTION("IMPORTRANGE(""https://docs.google.com/spreadsheets/d/11923uPwbBZFjjGgGUA6NLw09EwE0CqkOc4q9oUmW1yo/edit?usp=sharing"",""สุโขทัย!J108"")"),0)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IFERROR(__xludf.DUMMYFUNCTION("IMPORTRANGE(""https://docs.google.com/spreadsheets/d/11923uPwbBZFjjGgGUA6NLw09EwE0CqkOc4q9oUmW1yo/edit?usp=sharing"",""สุโขทัย!J109"")"),0)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IFERROR(__xludf.DUMMYFUNCTION("IMPORTRANGE(""https://docs.google.com/spreadsheets/d/11923uPwbBZFjjGgGUA6NLw09EwE0CqkOc4q9oUmW1yo/edit?usp=sharing"",""สุโขทัย!I110"")"),0)</f>
        <v>0</v>
      </c>
      <c r="J185" s="203">
        <f ca="1">IFERROR(__xludf.DUMMYFUNCTION("IMPORTRANGE(""https://docs.google.com/spreadsheets/d/11923uPwbBZFjjGgGUA6NLw09EwE0CqkOc4q9oUmW1yo/edit?usp=sharing"",""สุโขทัย!J110"")"),0)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IFERROR(__xludf.DUMMYFUNCTION("IMPORTRANGE(""https://docs.google.com/spreadsheets/d/11923uPwbBZFjjGgGUA6NLw09EwE0CqkOc4q9oUmW1yo/edit?usp=sharing"",""สุโขทัย!I111"")"),0)</f>
        <v>0</v>
      </c>
      <c r="J186" s="203">
        <f ca="1">IFERROR(__xludf.DUMMYFUNCTION("IMPORTRANGE(""https://docs.google.com/spreadsheets/d/11923uPwbBZFjjGgGUA6NLw09EwE0CqkOc4q9oUmW1yo/edit?usp=sharing"",""สุโขทัย!J111"")"),0)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IFERROR(__xludf.DUMMYFUNCTION("IMPORTRANGE(""https://docs.google.com/spreadsheets/d/11923uPwbBZFjjGgGUA6NLw09EwE0CqkOc4q9oUmW1yo/edit?usp=sharing"",""สุโขทัย!J112"")"),0)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IFERROR(__xludf.DUMMYFUNCTION("IMPORTRANGE(""https://docs.google.com/spreadsheets/d/11923uPwbBZFjjGgGUA6NLw09EwE0CqkOc4q9oUmW1yo/edit?usp=sharing"",""สุโขทัย!J113"")"),0)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IFERROR(__xludf.DUMMYFUNCTION("IMPORTRANGE(""https://docs.google.com/spreadsheets/d/11923uPwbBZFjjGgGUA6NLw09EwE0CqkOc4q9oUmW1yo/edit?usp=sharing"",""สุโขทัย!I114"")"),50000)</f>
        <v>50000</v>
      </c>
      <c r="J189" s="284">
        <f ca="1">IFERROR(__xludf.DUMMYFUNCTION("IMPORTRANGE(""https://docs.google.com/spreadsheets/d/11923uPwbBZFjjGgGUA6NLw09EwE0CqkOc4q9oUmW1yo/edit?usp=sharing"",""สุโขทัย!J114"")"),0)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IFERROR(__xludf.DUMMYFUNCTION("IMPORTRANGE(""https://docs.google.com/spreadsheets/d/11923uPwbBZFjjGgGUA6NLw09EwE0CqkOc4q9oUmW1yo/edit?usp=sharing"",""สุโขทัย!J119"")"),0)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IFERROR(__xludf.DUMMYFUNCTION("IMPORTRANGE(""https://docs.google.com/spreadsheets/d/11923uPwbBZFjjGgGUA6NLw09EwE0CqkOc4q9oUmW1yo/edit?usp=sharing"",""สุโขทัย!J120"")"),1)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IFERROR(__xludf.DUMMYFUNCTION("IMPORTRANGE(""https://docs.google.com/spreadsheets/d/11923uPwbBZFjjGgGUA6NLw09EwE0CqkOc4q9oUmW1yo/edit?usp=sharing"",""สุโขทัย!J121"")"),1)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IFERROR(__xludf.DUMMYFUNCTION("IMPORTRANGE(""https://docs.google.com/spreadsheets/d/11923uPwbBZFjjGgGUA6NLw09EwE0CqkOc4q9oUmW1yo/edit?usp=sharing"",""สุโขทัย!J122"")"),0)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IFERROR(__xludf.DUMMYFUNCTION("IMPORTRANGE(""https://docs.google.com/spreadsheets/d/11923uPwbBZFjjGgGUA6NLw09EwE0CqkOc4q9oUmW1yo/edit?usp=sharing"",""สุโขทัย!I124"")"),50000)</f>
        <v>50000</v>
      </c>
      <c r="J199" s="188">
        <f ca="1">IFERROR(__xludf.DUMMYFUNCTION("IMPORTRANGE(""https://docs.google.com/spreadsheets/d/11923uPwbBZFjjGgGUA6NLw09EwE0CqkOc4q9oUmW1yo/edit?usp=sharing"",""สุโขทัย!J124"")"),0)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IFERROR(__xludf.DUMMYFUNCTION("IMPORTRANGE(""https://docs.google.com/spreadsheets/d/11923uPwbBZFjjGgGUA6NLw09EwE0CqkOc4q9oUmW1yo/edit?usp=sharing"",""สุโขทัย!I125"")"),50000)</f>
        <v>50000</v>
      </c>
      <c r="J200" s="188">
        <f ca="1">IFERROR(__xludf.DUMMYFUNCTION("IMPORTRANGE(""https://docs.google.com/spreadsheets/d/11923uPwbBZFjjGgGUA6NLw09EwE0CqkOc4q9oUmW1yo/edit?usp=sharing"",""สุโขทัย!J125"")"),0)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IFERROR(__xludf.DUMMYFUNCTION("IMPORTRANGE(""https://docs.google.com/spreadsheets/d/11923uPwbBZFjjGgGUA6NLw09EwE0CqkOc4q9oUmW1yo/edit?usp=sharing"",""สุโขทัย!I126"")"),0)</f>
        <v>0</v>
      </c>
      <c r="J201" s="188">
        <f ca="1">IFERROR(__xludf.DUMMYFUNCTION("IMPORTRANGE(""https://docs.google.com/spreadsheets/d/11923uPwbBZFjjGgGUA6NLw09EwE0CqkOc4q9oUmW1yo/edit?usp=sharing"",""สุโขทัย!J126"")"),0)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IFERROR(__xludf.DUMMYFUNCTION("IMPORTRANGE(""https://docs.google.com/spreadsheets/d/11923uPwbBZFjjGgGUA6NLw09EwE0CqkOc4q9oUmW1yo/edit?usp=sharing"",""สุโขทัย!J127"")"),0)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IFERROR(__xludf.DUMMYFUNCTION("IMPORTRANGE(""https://docs.google.com/spreadsheets/d/11923uPwbBZFjjGgGUA6NLw09EwE0CqkOc4q9oUmW1yo/edit?usp=sharing"",""สุโขทัย!J128"")"),0)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IFERROR(__xludf.DUMMYFUNCTION("IMPORTRANGE(""https://docs.google.com/spreadsheets/d/11923uPwbBZFjjGgGUA6NLw09EwE0CqkOc4q9oUmW1yo/edit?usp=sharing"",""สุโขทัย!I129"")"),0)</f>
        <v>0</v>
      </c>
      <c r="J204" s="284">
        <f ca="1">IFERROR(__xludf.DUMMYFUNCTION("IMPORTRANGE(""https://docs.google.com/spreadsheets/d/11923uPwbBZFjjGgGUA6NLw09EwE0CqkOc4q9oUmW1yo/edit?usp=sharing"",""สุโขทัย!J129"")"),0)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IFERROR(__xludf.DUMMYFUNCTION("IMPORTRANGE(""https://docs.google.com/spreadsheets/d/11923uPwbBZFjjGgGUA6NLw09EwE0CqkOc4q9oUmW1yo/edit?usp=sharing"",""สุโขทัย!J134"")"),0)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IFERROR(__xludf.DUMMYFUNCTION("IMPORTRANGE(""https://docs.google.com/spreadsheets/d/11923uPwbBZFjjGgGUA6NLw09EwE0CqkOc4q9oUmW1yo/edit?usp=sharing"",""สุโขทัย!J135"")"),0)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IFERROR(__xludf.DUMMYFUNCTION("IMPORTRANGE(""https://docs.google.com/spreadsheets/d/11923uPwbBZFjjGgGUA6NLw09EwE0CqkOc4q9oUmW1yo/edit?usp=sharing"",""สุโขทัย!J136"")"),0)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IFERROR(__xludf.DUMMYFUNCTION("IMPORTRANGE(""https://docs.google.com/spreadsheets/d/11923uPwbBZFjjGgGUA6NLw09EwE0CqkOc4q9oUmW1yo/edit?usp=sharing"",""สุโขทัย!J137"")"),0)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IFERROR(__xludf.DUMMYFUNCTION("IMPORTRANGE(""https://docs.google.com/spreadsheets/d/11923uPwbBZFjjGgGUA6NLw09EwE0CqkOc4q9oUmW1yo/edit?usp=sharing"",""สุโขทัย!I138"")"),0)</f>
        <v>0</v>
      </c>
      <c r="J213" s="203">
        <f ca="1">IFERROR(__xludf.DUMMYFUNCTION("IMPORTRANGE(""https://docs.google.com/spreadsheets/d/11923uPwbBZFjjGgGUA6NLw09EwE0CqkOc4q9oUmW1yo/edit?usp=sharing"",""สุโขทัย!J138"")"),0)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IFERROR(__xludf.DUMMYFUNCTION("IMPORTRANGE(""https://docs.google.com/spreadsheets/d/11923uPwbBZFjjGgGUA6NLw09EwE0CqkOc4q9oUmW1yo/edit?usp=sharing"",""สุโขทัย!I140"")"),0)</f>
        <v>0</v>
      </c>
      <c r="J215" s="203">
        <f ca="1">IFERROR(__xludf.DUMMYFUNCTION("IMPORTRANGE(""https://docs.google.com/spreadsheets/d/11923uPwbBZFjjGgGUA6NLw09EwE0CqkOc4q9oUmW1yo/edit?usp=sharing"",""สุโขทัย!J140"")"),0)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IFERROR(__xludf.DUMMYFUNCTION("IMPORTRANGE(""https://docs.google.com/spreadsheets/d/11923uPwbBZFjjGgGUA6NLw09EwE0CqkOc4q9oUmW1yo/edit?usp=sharing"",""สุโขทัย!I141"")"),0)</f>
        <v>0</v>
      </c>
      <c r="J216" s="203">
        <f ca="1">IFERROR(__xludf.DUMMYFUNCTION("IMPORTRANGE(""https://docs.google.com/spreadsheets/d/11923uPwbBZFjjGgGUA6NLw09EwE0CqkOc4q9oUmW1yo/edit?usp=sharing"",""สุโขทัย!J141"")"),0)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IFERROR(__xludf.DUMMYFUNCTION("IMPORTRANGE(""https://docs.google.com/spreadsheets/d/11923uPwbBZFjjGgGUA6NLw09EwE0CqkOc4q9oUmW1yo/edit?usp=sharing"",""สุโขทัย!J142"")"),0)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IFERROR(__xludf.DUMMYFUNCTION("IMPORTRANGE(""https://docs.google.com/spreadsheets/d/11923uPwbBZFjjGgGUA6NLw09EwE0CqkOc4q9oUmW1yo/edit?usp=sharing"",""สุโขทัย!J143"")"),0)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IFERROR(__xludf.DUMMYFUNCTION("IMPORTRANGE(""https://docs.google.com/spreadsheets/d/11923uPwbBZFjjGgGUA6NLw09EwE0CqkOc4q9oUmW1yo/edit?usp=sharing"",""สุโขทัย!I144"")"),13)</f>
        <v>13</v>
      </c>
      <c r="J219" s="267">
        <f ca="1">IFERROR(__xludf.DUMMYFUNCTION("IMPORTRANGE(""https://docs.google.com/spreadsheets/d/11923uPwbBZFjjGgGUA6NLw09EwE0CqkOc4q9oUmW1yo/edit?usp=sharing"",""สุโขทัย!J144"")"),13)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19135</v>
      </c>
      <c r="O220" s="151">
        <f t="shared" ref="O220:O222" ca="1" si="73">IF(L220&gt;0,N220*100/L220,0)</f>
        <v>99.170769629437672</v>
      </c>
      <c r="P220" s="151">
        <f t="shared" ref="P220:P222" ca="1" si="74">IF(M220&gt;0,N220*100/M220,0)</f>
        <v>99.170769629437672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19135</v>
      </c>
      <c r="O222" s="156">
        <f t="shared" ca="1" si="73"/>
        <v>99.170769629437672</v>
      </c>
      <c r="P222" s="156">
        <f t="shared" ca="1" si="74"/>
        <v>99.170769629437672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IFERROR(__xludf.DUMMYFUNCTION("IMPORTRANGE(""https://docs.google.com/spreadsheets/d/1Yj_ptqi66GCucihVvJfMjLAmec39IyEx_6qawtMGysU/edit?usp=sharing"",""สบก!BS34"")"),19295)</f>
        <v>19295</v>
      </c>
      <c r="N224" s="168">
        <f ca="1">IFERROR(__xludf.DUMMYFUNCTION("IMPORTRANGE(""https://docs.google.com/spreadsheets/d/1Yj_ptqi66GCucihVvJfMjLAmec39IyEx_6qawtMGysU/edit?usp=sharing"",""สบก!BT34"")"),19135)</f>
        <v>19135</v>
      </c>
      <c r="O224" s="168">
        <f ca="1">IF(L224&gt;0,N224*100/L224,0)</f>
        <v>99.170769629437672</v>
      </c>
      <c r="P224" s="168">
        <f ca="1">IF(M224&gt;0,N224*100/M224,0)</f>
        <v>99.170769629437672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IFERROR(__xludf.DUMMYFUNCTION("IMPORTRANGE(""https://docs.google.com/spreadsheets/d/1Yj_ptqi66GCucihVvJfMjLAmec39IyEx_6qawtMGysU/edit?usp=sharing"",""สบก!BO34"")"),0)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IFERROR(__xludf.DUMMYFUNCTION("IMPORTRANGE(""https://docs.google.com/spreadsheets/d/1Yj_ptqi66GCucihVvJfMjLAmec39IyEx_6qawtMGysU/edit?usp=sharing"",""สบก!BP34"")"),19295)</f>
        <v>19295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IFERROR(__xludf.DUMMYFUNCTION("IMPORTRANGE(""https://docs.google.com/spreadsheets/d/1Yj_ptqi66GCucihVvJfMjLAmec39IyEx_6qawtMGysU/edit?usp=sharing"",""สบก!BQ34"")"),0)</f>
        <v>0</v>
      </c>
      <c r="M228" s="50"/>
      <c r="N228" s="50">
        <f ca="1">IFERROR(__xludf.DUMMYFUNCTION("IMPORTRANGE(""https://docs.google.com/spreadsheets/d/1Yj_ptqi66GCucihVvJfMjLAmec39IyEx_6qawtMGysU/edit?usp=sharing"",""สบก!BU34"")"),0)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IFERROR(__xludf.DUMMYFUNCTION("IMPORTRANGE(""https://docs.google.com/spreadsheets/d/11923uPwbBZFjjGgGUA6NLw09EwE0CqkOc4q9oUmW1yo/edit?usp=sharing"",""สุโขทัย!I149"")"),13)</f>
        <v>13</v>
      </c>
      <c r="J229" s="267">
        <f ca="1">IFERROR(__xludf.DUMMYFUNCTION("IMPORTRANGE(""https://docs.google.com/spreadsheets/d/11923uPwbBZFjjGgGUA6NLw09EwE0CqkOc4q9oUmW1yo/edit?usp=sharing"",""สุโขทัย!J149"")"),13)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IFERROR(__xludf.DUMMYFUNCTION("IMPORTRANGE(""https://docs.google.com/spreadsheets/d/11923uPwbBZFjjGgGUA6NLw09EwE0CqkOc4q9oUmW1yo/edit?usp=sharing"",""สุโขทัย!J151"")"),0)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IFERROR(__xludf.DUMMYFUNCTION("IMPORTRANGE(""https://docs.google.com/spreadsheets/d/11923uPwbBZFjjGgGUA6NLw09EwE0CqkOc4q9oUmW1yo/edit?usp=sharing"",""สุโขทัย!J152"")"),1)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IFERROR(__xludf.DUMMYFUNCTION("IMPORTRANGE(""https://docs.google.com/spreadsheets/d/11923uPwbBZFjjGgGUA6NLw09EwE0CqkOc4q9oUmW1yo/edit?usp=sharing"",""สุโขทัย!J153"")"),1)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IFERROR(__xludf.DUMMYFUNCTION("IMPORTRANGE(""https://docs.google.com/spreadsheets/d/11923uPwbBZFjjGgGUA6NLw09EwE0CqkOc4q9oUmW1yo/edit?usp=sharing"",""สุโขทัย!J154"")"),1)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IFERROR(__xludf.DUMMYFUNCTION("IMPORTRANGE(""https://docs.google.com/spreadsheets/d/11923uPwbBZFjjGgGUA6NLw09EwE0CqkOc4q9oUmW1yo/edit?usp=sharing"",""สุโขทัย!I155"")"),13)</f>
        <v>13</v>
      </c>
      <c r="J235" s="188">
        <f ca="1">IFERROR(__xludf.DUMMYFUNCTION("IMPORTRANGE(""https://docs.google.com/spreadsheets/d/11923uPwbBZFjjGgGUA6NLw09EwE0CqkOc4q9oUmW1yo/edit?usp=sharing"",""สุโขทัย!J155"")"),13)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IFERROR(__xludf.DUMMYFUNCTION("IMPORTRANGE(""https://docs.google.com/spreadsheets/d/11923uPwbBZFjjGgGUA6NLw09EwE0CqkOc4q9oUmW1yo/edit?usp=sharing"",""สุโขทัย!J156"")"),0)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IFERROR(__xludf.DUMMYFUNCTION("IMPORTRANGE(""https://docs.google.com/spreadsheets/d/11923uPwbBZFjjGgGUA6NLw09EwE0CqkOc4q9oUmW1yo/edit?usp=sharing"",""สุโขทัย!J157"")"),0)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IFERROR(__xludf.DUMMYFUNCTION("IMPORTRANGE(""https://docs.google.com/spreadsheets/d/11923uPwbBZFjjGgGUA6NLw09EwE0CqkOc4q9oUmW1yo/edit?usp=sharing"",""สุโขทัย!I158"")"),0)</f>
        <v>0</v>
      </c>
      <c r="J238" s="267">
        <f ca="1">IFERROR(__xludf.DUMMYFUNCTION("IMPORTRANGE(""https://docs.google.com/spreadsheets/d/11923uPwbBZFjjGgGUA6NLw09EwE0CqkOc4q9oUmW1yo/edit?usp=sharing"",""สุโขทัย!J158"")"),0)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IFERROR(__xludf.DUMMYFUNCTION("IMPORTRANGE(""https://docs.google.com/spreadsheets/d/11923uPwbBZFjjGgGUA6NLw09EwE0CqkOc4q9oUmW1yo/edit?usp=sharing"",""สุโขทัย!J159"")"),"")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IFERROR(__xludf.DUMMYFUNCTION("IMPORTRANGE(""https://docs.google.com/spreadsheets/d/11923uPwbBZFjjGgGUA6NLw09EwE0CqkOc4q9oUmW1yo/edit?usp=sharing"",""สุโขทัย!J161"")"),0)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IFERROR(__xludf.DUMMYFUNCTION("IMPORTRANGE(""https://docs.google.com/spreadsheets/d/11923uPwbBZFjjGgGUA6NLw09EwE0CqkOc4q9oUmW1yo/edit?usp=sharing"",""สุโขทัย!J162"")"),0)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IFERROR(__xludf.DUMMYFUNCTION("IMPORTRANGE(""https://docs.google.com/spreadsheets/d/11923uPwbBZFjjGgGUA6NLw09EwE0CqkOc4q9oUmW1yo/edit?usp=sharing"",""สุโขทัย!J163"")"),0)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IFERROR(__xludf.DUMMYFUNCTION("IMPORTRANGE(""https://docs.google.com/spreadsheets/d/11923uPwbBZFjjGgGUA6NLw09EwE0CqkOc4q9oUmW1yo/edit?usp=sharing"",""สุโขทัย!I164"")"),0)</f>
        <v>0</v>
      </c>
      <c r="J244" s="187">
        <f ca="1">IFERROR(__xludf.DUMMYFUNCTION("IMPORTRANGE(""https://docs.google.com/spreadsheets/d/11923uPwbBZFjjGgGUA6NLw09EwE0CqkOc4q9oUmW1yo/edit?usp=sharing"",""สุโขทัย!J164"")"),0)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IFERROR(__xludf.DUMMYFUNCTION("IMPORTRANGE(""https://docs.google.com/spreadsheets/d/11923uPwbBZFjjGgGUA6NLw09EwE0CqkOc4q9oUmW1yo/edit?usp=sharing"",""สุโขทัย!J165"")"),0)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IFERROR(__xludf.DUMMYFUNCTION("IMPORTRANGE(""https://docs.google.com/spreadsheets/d/11923uPwbBZFjjGgGUA6NLw09EwE0CqkOc4q9oUmW1yo/edit?usp=sharing"",""สุโขทัย!J166"")"),0)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IFERROR(__xludf.DUMMYFUNCTION("IMPORTRANGE(""https://docs.google.com/spreadsheets/d/11923uPwbBZFjjGgGUA6NLw09EwE0CqkOc4q9oUmW1yo/edit?usp=sharing"",""สุโขทัย!I169"")"),0)</f>
        <v>0</v>
      </c>
      <c r="J249" s="316">
        <f ca="1">IFERROR(__xludf.DUMMYFUNCTION("IMPORTRANGE(""https://docs.google.com/spreadsheets/d/11923uPwbBZFjjGgGUA6NLw09EwE0CqkOc4q9oUmW1yo/edit?usp=sharing"",""สุโขทัย!J169"")"),0)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IFERROR(__xludf.DUMMYFUNCTION("IMPORTRANGE(""https://docs.google.com/spreadsheets/d/1Yj_ptqi66GCucihVvJfMjLAmec39IyEx_6qawtMGysU/edit?usp=sharing"",""สบก!CB34"")"),0)</f>
        <v>0</v>
      </c>
      <c r="N254" s="168">
        <f ca="1">IFERROR(__xludf.DUMMYFUNCTION("IMPORTRANGE(""https://docs.google.com/spreadsheets/d/1Yj_ptqi66GCucihVvJfMjLAmec39IyEx_6qawtMGysU/edit?usp=sharing"",""สบก!CC34"")"),0)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IFERROR(__xludf.DUMMYFUNCTION("IMPORTRANGE(""https://docs.google.com/spreadsheets/d/1Yj_ptqi66GCucihVvJfMjLAmec39IyEx_6qawtMGysU/edit?usp=sharing"",""สบก!BX34"")"),0)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IFERROR(__xludf.DUMMYFUNCTION("IMPORTRANGE(""https://docs.google.com/spreadsheets/d/1Yj_ptqi66GCucihVvJfMjLAmec39IyEx_6qawtMGysU/edit?usp=sharing"",""สบก!BY34"")"),0)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IFERROR(__xludf.DUMMYFUNCTION("IMPORTRANGE(""https://docs.google.com/spreadsheets/d/1Yj_ptqi66GCucihVvJfMjLAmec39IyEx_6qawtMGysU/edit?usp=sharing"",""สบก!BZ34"")"),0)</f>
        <v>0</v>
      </c>
      <c r="M258" s="50"/>
      <c r="N258" s="50">
        <f ca="1">IFERROR(__xludf.DUMMYFUNCTION("IMPORTRANGE(""https://docs.google.com/spreadsheets/d/1Yj_ptqi66GCucihVvJfMjLAmec39IyEx_6qawtMGysU/edit?usp=sharing"",""สบก!CD34"")"),0)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IFERROR(__xludf.DUMMYFUNCTION("IMPORTRANGE(""https://docs.google.com/spreadsheets/d/11923uPwbBZFjjGgGUA6NLw09EwE0CqkOc4q9oUmW1yo/edit?usp=sharing"",""สุโขทัย!J175"")"),0)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IFERROR(__xludf.DUMMYFUNCTION("IMPORTRANGE(""https://docs.google.com/spreadsheets/d/11923uPwbBZFjjGgGUA6NLw09EwE0CqkOc4q9oUmW1yo/edit?usp=sharing"",""สุโขทัย!J176"")"),0)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IFERROR(__xludf.DUMMYFUNCTION("IMPORTRANGE(""https://docs.google.com/spreadsheets/d/11923uPwbBZFjjGgGUA6NLw09EwE0CqkOc4q9oUmW1yo/edit?usp=sharing"",""สุโขทัย!J177"")"),0)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IFERROR(__xludf.DUMMYFUNCTION("IMPORTRANGE(""https://docs.google.com/spreadsheets/d/11923uPwbBZFjjGgGUA6NLw09EwE0CqkOc4q9oUmW1yo/edit?usp=sharing"",""สุโขทัย!J178"")"),0)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IFERROR(__xludf.DUMMYFUNCTION("IMPORTRANGE(""https://docs.google.com/spreadsheets/d/11923uPwbBZFjjGgGUA6NLw09EwE0CqkOc4q9oUmW1yo/edit?usp=sharing"",""สุโขทัย!I179"")"),0)</f>
        <v>0</v>
      </c>
      <c r="J264" s="188">
        <f ca="1">IFERROR(__xludf.DUMMYFUNCTION("IMPORTRANGE(""https://docs.google.com/spreadsheets/d/11923uPwbBZFjjGgGUA6NLw09EwE0CqkOc4q9oUmW1yo/edit?usp=sharing"",""สุโขทัย!J179"")"),0)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IFERROR(__xludf.DUMMYFUNCTION("IMPORTRANGE(""https://docs.google.com/spreadsheets/d/11923uPwbBZFjjGgGUA6NLw09EwE0CqkOc4q9oUmW1yo/edit?usp=sharing"",""สุโขทัย!I180"")"),0)</f>
        <v>0</v>
      </c>
      <c r="J265" s="188">
        <f ca="1">IFERROR(__xludf.DUMMYFUNCTION("IMPORTRANGE(""https://docs.google.com/spreadsheets/d/11923uPwbBZFjjGgGUA6NLw09EwE0CqkOc4q9oUmW1yo/edit?usp=sharing"",""สุโขทัย!J180"")"),0)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IFERROR(__xludf.DUMMYFUNCTION("IMPORTRANGE(""https://docs.google.com/spreadsheets/d/11923uPwbBZFjjGgGUA6NLw09EwE0CqkOc4q9oUmW1yo/edit?usp=sharing"",""สุโขทัย!I181"")"),0)</f>
        <v>0</v>
      </c>
      <c r="J266" s="188">
        <f ca="1">IFERROR(__xludf.DUMMYFUNCTION("IMPORTRANGE(""https://docs.google.com/spreadsheets/d/11923uPwbBZFjjGgGUA6NLw09EwE0CqkOc4q9oUmW1yo/edit?usp=sharing"",""สุโขทัย!J181"")"),0)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IFERROR(__xludf.DUMMYFUNCTION("IMPORTRANGE(""https://docs.google.com/spreadsheets/d/11923uPwbBZFjjGgGUA6NLw09EwE0CqkOc4q9oUmW1yo/edit?usp=sharing"",""สุโขทัย!I182"")"),0)</f>
        <v>0</v>
      </c>
      <c r="J267" s="188">
        <f ca="1">IFERROR(__xludf.DUMMYFUNCTION("IMPORTRANGE(""https://docs.google.com/spreadsheets/d/11923uPwbBZFjjGgGUA6NLw09EwE0CqkOc4q9oUmW1yo/edit?usp=sharing"",""สุโขทัย!J182"")"),0)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IFERROR(__xludf.DUMMYFUNCTION("IMPORTRANGE(""https://docs.google.com/spreadsheets/d/11923uPwbBZFjjGgGUA6NLw09EwE0CqkOc4q9oUmW1yo/edit?usp=sharing"",""สุโขทัย!J183"")"),0)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IFERROR(__xludf.DUMMYFUNCTION("IMPORTRANGE(""https://docs.google.com/spreadsheets/d/11923uPwbBZFjjGgGUA6NLw09EwE0CqkOc4q9oUmW1yo/edit?usp=sharing"",""สุโขทัย!J184"")"),0)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IFERROR(__xludf.DUMMYFUNCTION("IMPORTRANGE(""https://docs.google.com/spreadsheets/d/11923uPwbBZFjjGgGUA6NLw09EwE0CqkOc4q9oUmW1yo/edit?usp=sharing"",""สุโขทัย!I185"")"),15)</f>
        <v>15</v>
      </c>
      <c r="J270" s="316">
        <f ca="1">IFERROR(__xludf.DUMMYFUNCTION("IMPORTRANGE(""https://docs.google.com/spreadsheets/d/11923uPwbBZFjjGgGUA6NLw09EwE0CqkOc4q9oUmW1yo/edit?usp=sharing"",""สุโขทัย!J185"")"),15)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237700</v>
      </c>
      <c r="M271" s="152">
        <f t="shared" ca="1" si="83"/>
        <v>237700</v>
      </c>
      <c r="N271" s="152">
        <f t="shared" ca="1" si="83"/>
        <v>144115.48000000001</v>
      </c>
      <c r="O271" s="151">
        <f t="shared" ref="O271:O273" ca="1" si="84">IF(L271&gt;0,N271*100/L271,0)</f>
        <v>60.629145982330677</v>
      </c>
      <c r="P271" s="151">
        <f t="shared" ref="P271:P273" ca="1" si="85">IF(M271&gt;0,N271*100/M271,0)</f>
        <v>60.629145982330677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237700</v>
      </c>
      <c r="M273" s="88">
        <f t="shared" ca="1" si="87"/>
        <v>237700</v>
      </c>
      <c r="N273" s="88">
        <f t="shared" ca="1" si="87"/>
        <v>144115.48000000001</v>
      </c>
      <c r="O273" s="156">
        <f t="shared" ca="1" si="84"/>
        <v>60.629145982330677</v>
      </c>
      <c r="P273" s="156">
        <f t="shared" ca="1" si="85"/>
        <v>60.629145982330677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237700</v>
      </c>
      <c r="M275" s="167">
        <f ca="1">IFERROR(__xludf.DUMMYFUNCTION("IMPORTRANGE(""https://docs.google.com/spreadsheets/d/1Yj_ptqi66GCucihVvJfMjLAmec39IyEx_6qawtMGysU/edit?usp=sharing"",""สบก!CK34"")"),237700)</f>
        <v>237700</v>
      </c>
      <c r="N275" s="168">
        <f ca="1">IFERROR(__xludf.DUMMYFUNCTION("IMPORTRANGE(""https://docs.google.com/spreadsheets/d/1Yj_ptqi66GCucihVvJfMjLAmec39IyEx_6qawtMGysU/edit?usp=sharing"",""สบก!CL34"")"),144115.48)</f>
        <v>144115.48000000001</v>
      </c>
      <c r="O275" s="168">
        <f ca="1">IF(L275&gt;0,N275*100/L275,0)</f>
        <v>60.629145982330677</v>
      </c>
      <c r="P275" s="168">
        <f ca="1">IF(M275&gt;0,N275*100/M275,0)</f>
        <v>60.629145982330677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IFERROR(__xludf.DUMMYFUNCTION("IMPORTRANGE(""https://docs.google.com/spreadsheets/d/1Yj_ptqi66GCucihVvJfMjLAmec39IyEx_6qawtMGysU/edit?usp=sharing"",""สบก!CG34"")"),132000)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IFERROR(__xludf.DUMMYFUNCTION("IMPORTRANGE(""https://docs.google.com/spreadsheets/d/1Yj_ptqi66GCucihVvJfMjLAmec39IyEx_6qawtMGysU/edit?usp=sharing"",""สบก!CH34"")"),105700)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IFERROR(__xludf.DUMMYFUNCTION("IMPORTRANGE(""https://docs.google.com/spreadsheets/d/1Yj_ptqi66GCucihVvJfMjLAmec39IyEx_6qawtMGysU/edit?usp=sharing"",""สบก!CI34"")"),0)</f>
        <v>0</v>
      </c>
      <c r="M279" s="50"/>
      <c r="N279" s="50">
        <f ca="1">IFERROR(__xludf.DUMMYFUNCTION("IMPORTRANGE(""https://docs.google.com/spreadsheets/d/1Yj_ptqi66GCucihVvJfMjLAmec39IyEx_6qawtMGysU/edit?usp=sharing"",""สบก!CM34"")"),0)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IFERROR(__xludf.DUMMYFUNCTION("IMPORTRANGE(""https://docs.google.com/spreadsheets/d/11923uPwbBZFjjGgGUA6NLw09EwE0CqkOc4q9oUmW1yo/edit?usp=sharing"",""สุโขทัย!J191"")"),0)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IFERROR(__xludf.DUMMYFUNCTION("IMPORTRANGE(""https://docs.google.com/spreadsheets/d/11923uPwbBZFjjGgGUA6NLw09EwE0CqkOc4q9oUmW1yo/edit?usp=sharing"",""สุโขทัย!J192"")"),1)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IFERROR(__xludf.DUMMYFUNCTION("IMPORTRANGE(""https://docs.google.com/spreadsheets/d/11923uPwbBZFjjGgGUA6NLw09EwE0CqkOc4q9oUmW1yo/edit?usp=sharing"",""สุโขทัย!J193"")"),1)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IFERROR(__xludf.DUMMYFUNCTION("IMPORTRANGE(""https://docs.google.com/spreadsheets/d/11923uPwbBZFjjGgGUA6NLw09EwE0CqkOc4q9oUmW1yo/edit?usp=sharing"",""สุโขทัย!J194"")"),1)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IFERROR(__xludf.DUMMYFUNCTION("IMPORTRANGE(""https://docs.google.com/spreadsheets/d/11923uPwbBZFjjGgGUA6NLw09EwE0CqkOc4q9oUmW1yo/edit?usp=sharing"",""สุโขทัย!I195"")"),15)</f>
        <v>15</v>
      </c>
      <c r="J285" s="188">
        <f ca="1">IFERROR(__xludf.DUMMYFUNCTION("IMPORTRANGE(""https://docs.google.com/spreadsheets/d/11923uPwbBZFjjGgGUA6NLw09EwE0CqkOc4q9oUmW1yo/edit?usp=sharing"",""สุโขทัย!J195"")"),15)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IFERROR(__xludf.DUMMYFUNCTION("IMPORTRANGE(""https://docs.google.com/spreadsheets/d/11923uPwbBZFjjGgGUA6NLw09EwE0CqkOc4q9oUmW1yo/edit?usp=sharing"",""สุโขทัย!J196"")"),0)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IFERROR(__xludf.DUMMYFUNCTION("IMPORTRANGE(""https://docs.google.com/spreadsheets/d/11923uPwbBZFjjGgGUA6NLw09EwE0CqkOc4q9oUmW1yo/edit?usp=sharing"",""สุโขทัย!J197"")"),0)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IFERROR(__xludf.DUMMYFUNCTION("IMPORTRANGE(""https://docs.google.com/spreadsheets/d/11923uPwbBZFjjGgGUA6NLw09EwE0CqkOc4q9oUmW1yo/edit?usp=sharing"",""สุโขทัย!I199"")"),0)</f>
        <v>0</v>
      </c>
      <c r="J289" s="316">
        <f ca="1">IFERROR(__xludf.DUMMYFUNCTION("IMPORTRANGE(""https://docs.google.com/spreadsheets/d/11923uPwbBZFjjGgGUA6NLw09EwE0CqkOc4q9oUmW1yo/edit?usp=sharing"",""สุโขทัย!J199"")"),0)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IFERROR(__xludf.DUMMYFUNCTION("IMPORTRANGE(""https://docs.google.com/spreadsheets/d/1Yj_ptqi66GCucihVvJfMjLAmec39IyEx_6qawtMGysU/edit?usp=sharing"",""สบก!CT34"")"),0)</f>
        <v>0</v>
      </c>
      <c r="N294" s="168">
        <f ca="1">IFERROR(__xludf.DUMMYFUNCTION("IMPORTRANGE(""https://docs.google.com/spreadsheets/d/1Yj_ptqi66GCucihVvJfMjLAmec39IyEx_6qawtMGysU/edit?usp=sharing"",""สบก!CU34"")"),0)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IFERROR(__xludf.DUMMYFUNCTION("IMPORTRANGE(""https://docs.google.com/spreadsheets/d/1Yj_ptqi66GCucihVvJfMjLAmec39IyEx_6qawtMGysU/edit?usp=sharing"",""สบก!CP34"")"),0)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IFERROR(__xludf.DUMMYFUNCTION("IMPORTRANGE(""https://docs.google.com/spreadsheets/d/1Yj_ptqi66GCucihVvJfMjLAmec39IyEx_6qawtMGysU/edit?usp=sharing"",""สบก!CQ34"")"),0)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IFERROR(__xludf.DUMMYFUNCTION("IMPORTRANGE(""https://docs.google.com/spreadsheets/d/1Yj_ptqi66GCucihVvJfMjLAmec39IyEx_6qawtMGysU/edit?usp=sharing"",""สบก!CR34"")"),0)</f>
        <v>0</v>
      </c>
      <c r="M298" s="50"/>
      <c r="N298" s="50">
        <f ca="1">IFERROR(__xludf.DUMMYFUNCTION("IMPORTRANGE(""https://docs.google.com/spreadsheets/d/1Yj_ptqi66GCucihVvJfMjLAmec39IyEx_6qawtMGysU/edit?usp=sharing"",""สบก!CV34"")"),0)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IFERROR(__xludf.DUMMYFUNCTION("IMPORTRANGE(""https://docs.google.com/spreadsheets/d/11923uPwbBZFjjGgGUA6NLw09EwE0CqkOc4q9oUmW1yo/edit?usp=sharing"",""สุโขทัย!J205"")"),0)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IFERROR(__xludf.DUMMYFUNCTION("IMPORTRANGE(""https://docs.google.com/spreadsheets/d/11923uPwbBZFjjGgGUA6NLw09EwE0CqkOc4q9oUmW1yo/edit?usp=sharing"",""สุโขทัย!J206"")"),0)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IFERROR(__xludf.DUMMYFUNCTION("IMPORTRANGE(""https://docs.google.com/spreadsheets/d/11923uPwbBZFjjGgGUA6NLw09EwE0CqkOc4q9oUmW1yo/edit?usp=sharing"",""สุโขทัย!J207"")"),0)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IFERROR(__xludf.DUMMYFUNCTION("IMPORTRANGE(""https://docs.google.com/spreadsheets/d/11923uPwbBZFjjGgGUA6NLw09EwE0CqkOc4q9oUmW1yo/edit?usp=sharing"",""สุโขทัย!J208"")"),0)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IFERROR(__xludf.DUMMYFUNCTION("IMPORTRANGE(""https://docs.google.com/spreadsheets/d/11923uPwbBZFjjGgGUA6NLw09EwE0CqkOc4q9oUmW1yo/edit?usp=sharing"",""สุโขทัย!I209"")"),0)</f>
        <v>0</v>
      </c>
      <c r="J304" s="203">
        <f ca="1">IFERROR(__xludf.DUMMYFUNCTION("IMPORTRANGE(""https://docs.google.com/spreadsheets/d/11923uPwbBZFjjGgGUA6NLw09EwE0CqkOc4q9oUmW1yo/edit?usp=sharing"",""สุโขทัย!J209"")"),0)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IFERROR(__xludf.DUMMYFUNCTION("IMPORTRANGE(""https://docs.google.com/spreadsheets/d/11923uPwbBZFjjGgGUA6NLw09EwE0CqkOc4q9oUmW1yo/edit?usp=sharing"",""สุโขทัย!I211"")"),0)</f>
        <v>0</v>
      </c>
      <c r="J306" s="203">
        <f ca="1">IFERROR(__xludf.DUMMYFUNCTION("IMPORTRANGE(""https://docs.google.com/spreadsheets/d/11923uPwbBZFjjGgGUA6NLw09EwE0CqkOc4q9oUmW1yo/edit?usp=sharing"",""สุโขทัย!J211"")"),0)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IFERROR(__xludf.DUMMYFUNCTION("IMPORTRANGE(""https://docs.google.com/spreadsheets/d/11923uPwbBZFjjGgGUA6NLw09EwE0CqkOc4q9oUmW1yo/edit?usp=sharing"",""สุโขทัย!J212"")"),0)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IFERROR(__xludf.DUMMYFUNCTION("IMPORTRANGE(""https://docs.google.com/spreadsheets/d/11923uPwbBZFjjGgGUA6NLw09EwE0CqkOc4q9oUmW1yo/edit?usp=sharing"",""สุโขทัย!J213"")"),0)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IFERROR(__xludf.DUMMYFUNCTION("IMPORTRANGE(""https://docs.google.com/spreadsheets/d/11923uPwbBZFjjGgGUA6NLw09EwE0CqkOc4q9oUmW1yo/edit?usp=sharing"",""สุโขทัย!I214"")"),0)</f>
        <v>0</v>
      </c>
      <c r="J309" s="333">
        <f ca="1">IFERROR(__xludf.DUMMYFUNCTION("IMPORTRANGE(""https://docs.google.com/spreadsheets/d/11923uPwbBZFjjGgGUA6NLw09EwE0CqkOc4q9oUmW1yo/edit?usp=sharing"",""สุโขทัย!J214"")"),0)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IFERROR(__xludf.DUMMYFUNCTION("IMPORTRANGE(""https://docs.google.com/spreadsheets/d/1Yj_ptqi66GCucihVvJfMjLAmec39IyEx_6qawtMGysU/edit?usp=sharing"",""สบก!DC34"")"),0)</f>
        <v>0</v>
      </c>
      <c r="N314" s="168">
        <f ca="1">IFERROR(__xludf.DUMMYFUNCTION("IMPORTRANGE(""https://docs.google.com/spreadsheets/d/1Yj_ptqi66GCucihVvJfMjLAmec39IyEx_6qawtMGysU/edit?usp=sharing"",""สบก!DD34"")"),0)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IFERROR(__xludf.DUMMYFUNCTION("IMPORTRANGE(""https://docs.google.com/spreadsheets/d/1Yj_ptqi66GCucihVvJfMjLAmec39IyEx_6qawtMGysU/edit?usp=sharing"",""สบก!CY34"")"),0)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IFERROR(__xludf.DUMMYFUNCTION("IMPORTRANGE(""https://docs.google.com/spreadsheets/d/1Yj_ptqi66GCucihVvJfMjLAmec39IyEx_6qawtMGysU/edit?usp=sharing"",""สบก!CZ34"")"),0)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IFERROR(__xludf.DUMMYFUNCTION("IMPORTRANGE(""https://docs.google.com/spreadsheets/d/1Yj_ptqi66GCucihVvJfMjLAmec39IyEx_6qawtMGysU/edit?usp=sharing"",""สบก!DA34"")"),0)</f>
        <v>0</v>
      </c>
      <c r="M318" s="50"/>
      <c r="N318" s="50">
        <f ca="1">IFERROR(__xludf.DUMMYFUNCTION("IMPORTRANGE(""https://docs.google.com/spreadsheets/d/1Yj_ptqi66GCucihVvJfMjLAmec39IyEx_6qawtMGysU/edit?usp=sharing"",""สบก!DE34"")"),0)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IFERROR(__xludf.DUMMYFUNCTION("IMPORTRANGE(""https://docs.google.com/spreadsheets/d/11923uPwbBZFjjGgGUA6NLw09EwE0CqkOc4q9oUmW1yo/edit?usp=sharing"",""สุโขทัย!J220"")"),0)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IFERROR(__xludf.DUMMYFUNCTION("IMPORTRANGE(""https://docs.google.com/spreadsheets/d/11923uPwbBZFjjGgGUA6NLw09EwE0CqkOc4q9oUmW1yo/edit?usp=sharing"",""สุโขทัย!J221"")"),0)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IFERROR(__xludf.DUMMYFUNCTION("IMPORTRANGE(""https://docs.google.com/spreadsheets/d/11923uPwbBZFjjGgGUA6NLw09EwE0CqkOc4q9oUmW1yo/edit?usp=sharing"",""สุโขทัย!J222"")"),0)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IFERROR(__xludf.DUMMYFUNCTION("IMPORTRANGE(""https://docs.google.com/spreadsheets/d/11923uPwbBZFjjGgGUA6NLw09EwE0CqkOc4q9oUmW1yo/edit?usp=sharing"",""สุโขทัย!J223"")"),0)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IFERROR(__xludf.DUMMYFUNCTION("IMPORTRANGE(""https://docs.google.com/spreadsheets/d/11923uPwbBZFjjGgGUA6NLw09EwE0CqkOc4q9oUmW1yo/edit?usp=sharing"",""สุโขทัย!I224"")"),0)</f>
        <v>0</v>
      </c>
      <c r="J324" s="203">
        <f ca="1">IFERROR(__xludf.DUMMYFUNCTION("IMPORTRANGE(""https://docs.google.com/spreadsheets/d/11923uPwbBZFjjGgGUA6NLw09EwE0CqkOc4q9oUmW1yo/edit?usp=sharing"",""สุโขทัย!J224"")"),0)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IFERROR(__xludf.DUMMYFUNCTION("IMPORTRANGE(""https://docs.google.com/spreadsheets/d/11923uPwbBZFjjGgGUA6NLw09EwE0CqkOc4q9oUmW1yo/edit?usp=sharing"",""สุโขทัย!J225"")"),0)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IFERROR(__xludf.DUMMYFUNCTION("IMPORTRANGE(""https://docs.google.com/spreadsheets/d/11923uPwbBZFjjGgGUA6NLw09EwE0CqkOc4q9oUmW1yo/edit?usp=sharing"",""สุโขทัย!J226"")"),0)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IFERROR(__xludf.DUMMYFUNCTION("IMPORTRANGE(""https://docs.google.com/spreadsheets/d/11923uPwbBZFjjGgGUA6NLw09EwE0CqkOc4q9oUmW1yo/edit?usp=sharing"",""สุโขทัย!I228"")"),270)</f>
        <v>270</v>
      </c>
      <c r="J328" s="339">
        <f ca="1">IFERROR(__xludf.DUMMYFUNCTION("IMPORTRANGE(""https://docs.google.com/spreadsheets/d/11923uPwbBZFjjGgGUA6NLw09EwE0CqkOc4q9oUmW1yo/edit?usp=sharing"",""สุโขทัย!J228"")"),208)</f>
        <v>208</v>
      </c>
      <c r="K328" s="317">
        <f ca="1">IF(I328&gt;0,J328*100/I328,0)</f>
        <v>77.037037037037038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868030</v>
      </c>
      <c r="M329" s="152">
        <f t="shared" ca="1" si="98"/>
        <v>944070</v>
      </c>
      <c r="N329" s="152">
        <f t="shared" ca="1" si="98"/>
        <v>589581.65</v>
      </c>
      <c r="O329" s="151">
        <f t="shared" ref="O329:O331" ca="1" si="99">IF(L329&gt;0,N329*100/L329,0)</f>
        <v>67.921805697959755</v>
      </c>
      <c r="P329" s="151">
        <f t="shared" ref="P329:P331" ca="1" si="100">IF(M329&gt;0,N329*100/M329,0)</f>
        <v>62.451052358405626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868030</v>
      </c>
      <c r="M331" s="88">
        <f t="shared" ca="1" si="102"/>
        <v>944070</v>
      </c>
      <c r="N331" s="88">
        <f t="shared" ca="1" si="102"/>
        <v>589581.65</v>
      </c>
      <c r="O331" s="156">
        <f t="shared" ca="1" si="99"/>
        <v>67.921805697959755</v>
      </c>
      <c r="P331" s="156">
        <f t="shared" ca="1" si="100"/>
        <v>62.451052358405626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868030</v>
      </c>
      <c r="M333" s="167">
        <f ca="1">IFERROR(__xludf.DUMMYFUNCTION("IMPORTRANGE(""https://docs.google.com/spreadsheets/d/1Yj_ptqi66GCucihVvJfMjLAmec39IyEx_6qawtMGysU/edit?usp=sharing"",""สบก!DL34"")"),944070)</f>
        <v>944070</v>
      </c>
      <c r="N333" s="168">
        <f ca="1">IFERROR(__xludf.DUMMYFUNCTION("IMPORTRANGE(""https://docs.google.com/spreadsheets/d/1Yj_ptqi66GCucihVvJfMjLAmec39IyEx_6qawtMGysU/edit?usp=sharing"",""สบก!DM34"")"),589581.65)</f>
        <v>589581.65</v>
      </c>
      <c r="O333" s="168">
        <f ca="1">IF(L333&gt;0,N333*100/L333,0)</f>
        <v>67.921805697959755</v>
      </c>
      <c r="P333" s="168">
        <f ca="1">IF(M333&gt;0,N333*100/M333,0)</f>
        <v>62.451052358405626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IFERROR(__xludf.DUMMYFUNCTION("IMPORTRANGE(""https://docs.google.com/spreadsheets/d/1Yj_ptqi66GCucihVvJfMjLAmec39IyEx_6qawtMGysU/edit?usp=sharing"",""สบก!DH34"")"),529200)</f>
        <v>529200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IFERROR(__xludf.DUMMYFUNCTION("IMPORTRANGE(""https://docs.google.com/spreadsheets/d/1Yj_ptqi66GCucihVvJfMjLAmec39IyEx_6qawtMGysU/edit?usp=sharing"",""สบก!DI34"")"),338830)</f>
        <v>338830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IFERROR(__xludf.DUMMYFUNCTION("IMPORTRANGE(""https://docs.google.com/spreadsheets/d/1Yj_ptqi66GCucihVvJfMjLAmec39IyEx_6qawtMGysU/edit?usp=sharing"",""สบก!DJ34"")"),0)</f>
        <v>0</v>
      </c>
      <c r="M337" s="50"/>
      <c r="N337" s="50">
        <f ca="1">IFERROR(__xludf.DUMMYFUNCTION("IMPORTRANGE(""https://docs.google.com/spreadsheets/d/1Yj_ptqi66GCucihVvJfMjLAmec39IyEx_6qawtMGysU/edit?usp=sharing"",""สบก!DN34"")"),0)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IFERROR(__xludf.DUMMYFUNCTION("IMPORTRANGE(""https://docs.google.com/spreadsheets/d/11923uPwbBZFjjGgGUA6NLw09EwE0CqkOc4q9oUmW1yo/edit?usp=sharing"",""สุโขทัย!I234"")"),0)</f>
        <v>0</v>
      </c>
      <c r="J339" s="187">
        <f ca="1">IFERROR(__xludf.DUMMYFUNCTION("IMPORTRANGE(""https://docs.google.com/spreadsheets/d/11923uPwbBZFjjGgGUA6NLw09EwE0CqkOc4q9oUmW1yo/edit?usp=sharing"",""สุโขทัย!J234"")"),160)</f>
        <v>160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IFERROR(__xludf.DUMMYFUNCTION("IMPORTRANGE(""https://docs.google.com/spreadsheets/d/11923uPwbBZFjjGgGUA6NLw09EwE0CqkOc4q9oUmW1yo/edit?usp=sharing"",""สุโขทัย!I235"")"),1440)</f>
        <v>1440</v>
      </c>
      <c r="J340" s="187">
        <f ca="1">IFERROR(__xludf.DUMMYFUNCTION("IMPORTRANGE(""https://docs.google.com/spreadsheets/d/11923uPwbBZFjjGgGUA6NLw09EwE0CqkOc4q9oUmW1yo/edit?usp=sharing"",""สุโขทัย!J235"")"),1422.26)</f>
        <v>1422.26</v>
      </c>
      <c r="K340" s="342">
        <f t="shared" ca="1" si="103"/>
        <v>98.768055555555549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IFERROR(__xludf.DUMMYFUNCTION("IMPORTRANGE(""https://docs.google.com/spreadsheets/d/11923uPwbBZFjjGgGUA6NLw09EwE0CqkOc4q9oUmW1yo/edit?usp=sharing"",""สุโขทัย!I236"")"),270)</f>
        <v>270</v>
      </c>
      <c r="J341" s="187">
        <f ca="1">IFERROR(__xludf.DUMMYFUNCTION("IMPORTRANGE(""https://docs.google.com/spreadsheets/d/11923uPwbBZFjjGgGUA6NLw09EwE0CqkOc4q9oUmW1yo/edit?usp=sharing"",""สุโขทัย!J236"")"),284)</f>
        <v>284</v>
      </c>
      <c r="K341" s="342">
        <f t="shared" ca="1" si="103"/>
        <v>105.18518518518519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IFERROR(__xludf.DUMMYFUNCTION("IMPORTRANGE(""https://docs.google.com/spreadsheets/d/11923uPwbBZFjjGgGUA6NLw09EwE0CqkOc4q9oUmW1yo/edit?usp=sharing"",""สุโขทัย!I237"")"),0)</f>
        <v>0</v>
      </c>
      <c r="J342" s="187">
        <f ca="1">IFERROR(__xludf.DUMMYFUNCTION("IMPORTRANGE(""https://docs.google.com/spreadsheets/d/11923uPwbBZFjjGgGUA6NLw09EwE0CqkOc4q9oUmW1yo/edit?usp=sharing"",""สุโขทัย!J237"")"),3268.12)</f>
        <v>3268.12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IFERROR(__xludf.DUMMYFUNCTION("IMPORTRANGE(""https://docs.google.com/spreadsheets/d/11923uPwbBZFjjGgGUA6NLw09EwE0CqkOc4q9oUmW1yo/edit?usp=sharing"",""สุโขทัย!I238"")"),270)</f>
        <v>270</v>
      </c>
      <c r="J343" s="187">
        <f ca="1">IFERROR(__xludf.DUMMYFUNCTION("IMPORTRANGE(""https://docs.google.com/spreadsheets/d/11923uPwbBZFjjGgGUA6NLw09EwE0CqkOc4q9oUmW1yo/edit?usp=sharing"",""สุโขทัย!J238"")"),0)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IFERROR(__xludf.DUMMYFUNCTION("IMPORTRANGE(""https://docs.google.com/spreadsheets/d/11923uPwbBZFjjGgGUA6NLw09EwE0CqkOc4q9oUmW1yo/edit?usp=sharing"",""สุโขทัย!I239"")"),0)</f>
        <v>0</v>
      </c>
      <c r="J344" s="187">
        <f ca="1">IFERROR(__xludf.DUMMYFUNCTION("IMPORTRANGE(""https://docs.google.com/spreadsheets/d/11923uPwbBZFjjGgGUA6NLw09EwE0CqkOc4q9oUmW1yo/edit?usp=sharing"",""สุโขทัย!J239"")"),0)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IFERROR(__xludf.DUMMYFUNCTION("IMPORTRANGE(""https://docs.google.com/spreadsheets/d/11923uPwbBZFjjGgGUA6NLw09EwE0CqkOc4q9oUmW1yo/edit?usp=sharing"",""สุโขทัย!I240"")"),270)</f>
        <v>270</v>
      </c>
      <c r="J345" s="187">
        <f ca="1">IFERROR(__xludf.DUMMYFUNCTION("IMPORTRANGE(""https://docs.google.com/spreadsheets/d/11923uPwbBZFjjGgGUA6NLw09EwE0CqkOc4q9oUmW1yo/edit?usp=sharing"",""สุโขทัย!J240"")"),208)</f>
        <v>208</v>
      </c>
      <c r="K345" s="342">
        <f t="shared" ca="1" si="103"/>
        <v>77.037037037037038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IFERROR(__xludf.DUMMYFUNCTION("IMPORTRANGE(""https://docs.google.com/spreadsheets/d/11923uPwbBZFjjGgGUA6NLw09EwE0CqkOc4q9oUmW1yo/edit?usp=sharing"",""สุโขทัย!I241"")"),0)</f>
        <v>0</v>
      </c>
      <c r="J346" s="187">
        <f ca="1">IFERROR(__xludf.DUMMYFUNCTION("IMPORTRANGE(""https://docs.google.com/spreadsheets/d/11923uPwbBZFjjGgGUA6NLw09EwE0CqkOc4q9oUmW1yo/edit?usp=sharing"",""สุโขทัย!J241"")"),2586.79999999999)</f>
        <v>2586.7999999999902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IFERROR(__xludf.DUMMYFUNCTION("IMPORTRANGE(""https://docs.google.com/spreadsheets/d/11923uPwbBZFjjGgGUA6NLw09EwE0CqkOc4q9oUmW1yo/edit?usp=sharing"",""สุโขทัย!L242"")"),2002983)</f>
        <v>2002983</v>
      </c>
      <c r="M347" s="357"/>
      <c r="N347" s="357">
        <f ca="1">IFERROR(__xludf.DUMMYFUNCTION("IMPORTRANGE(""https://docs.google.com/spreadsheets/d/11923uPwbBZFjjGgGUA6NLw09EwE0CqkOc4q9oUmW1yo/edit?usp=sharing"",""สุโขทัย!M242"")"),1168941.32999999)</f>
        <v>1168941.3299999901</v>
      </c>
      <c r="O347" s="357">
        <f ca="1">+IF(L347&gt;0,N347*100/L347,0)</f>
        <v>58.360022526401373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IFERROR(__xludf.DUMMYFUNCTION("IMPORTRANGE(""https://docs.google.com/spreadsheets/d/11923uPwbBZFjjGgGUA6NLw09EwE0CqkOc4q9oUmW1yo/edit?usp=sharing"",""สุโขทัย!I244"")"),80)</f>
        <v>80</v>
      </c>
      <c r="J349" s="370">
        <f ca="1">IFERROR(__xludf.DUMMYFUNCTION("IMPORTRANGE(""https://docs.google.com/spreadsheets/d/11923uPwbBZFjjGgGUA6NLw09EwE0CqkOc4q9oUmW1yo/edit?usp=sharing"",""สุโขทัย!J244"")"),80)</f>
        <v>80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IFERROR(__xludf.DUMMYFUNCTION("IMPORTRANGE(""https://docs.google.com/spreadsheets/d/11923uPwbBZFjjGgGUA6NLw09EwE0CqkOc4q9oUmW1yo/edit?usp=sharing"",""สุโขทัย!L244"")"),367080)</f>
        <v>367080</v>
      </c>
      <c r="M349" s="372"/>
      <c r="N349" s="372">
        <f ca="1">IFERROR(__xludf.DUMMYFUNCTION("IMPORTRANGE(""https://docs.google.com/spreadsheets/d/11923uPwbBZFjjGgGUA6NLw09EwE0CqkOc4q9oUmW1yo/edit?usp=sharing"",""สุโขทัย!M244"")"),267036.13)</f>
        <v>267036.13</v>
      </c>
      <c r="O349" s="372">
        <f ca="1">+IF(L349&gt;0,N349*100/L349,0)</f>
        <v>72.746030837964483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IFERROR(__xludf.DUMMYFUNCTION("IMPORTRANGE(""https://docs.google.com/spreadsheets/d/11923uPwbBZFjjGgGUA6NLw09EwE0CqkOc4q9oUmW1yo/edit?usp=sharing"",""สุโขทัย!I245"")"),80)</f>
        <v>80</v>
      </c>
      <c r="J350" s="370">
        <f ca="1">IFERROR(__xludf.DUMMYFUNCTION("IMPORTRANGE(""https://docs.google.com/spreadsheets/d/11923uPwbBZFjjGgGUA6NLw09EwE0CqkOc4q9oUmW1yo/edit?usp=sharing"",""สุโขทัย!J245"")"),80)</f>
        <v>80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IFERROR(__xludf.DUMMYFUNCTION("IMPORTRANGE(""https://docs.google.com/spreadsheets/d/11923uPwbBZFjjGgGUA6NLw09EwE0CqkOc4q9oUmW1yo/edit?usp=sharing"",""สุโขทัย!L246"")"),0)</f>
        <v>0</v>
      </c>
      <c r="M351" s="164"/>
      <c r="N351" s="164">
        <f ca="1">IFERROR(__xludf.DUMMYFUNCTION("IMPORTRANGE(""https://docs.google.com/spreadsheets/d/11923uPwbBZFjjGgGUA6NLw09EwE0CqkOc4q9oUmW1yo/edit?usp=sharing"",""สุโขทัย!M246"")"),0)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IFERROR(__xludf.DUMMYFUNCTION("IMPORTRANGE(""https://docs.google.com/spreadsheets/d/11923uPwbBZFjjGgGUA6NLw09EwE0CqkOc4q9oUmW1yo/edit?usp=sharing"",""สุโขทัย!L247"")"),367080)</f>
        <v>367080</v>
      </c>
      <c r="M352" s="165"/>
      <c r="N352" s="164">
        <f ca="1">IFERROR(__xludf.DUMMYFUNCTION("IMPORTRANGE(""https://docs.google.com/spreadsheets/d/11923uPwbBZFjjGgGUA6NLw09EwE0CqkOc4q9oUmW1yo/edit?usp=sharing"",""สุโขทัย!M247"")"),267036.13)</f>
        <v>267036.13</v>
      </c>
      <c r="O352" s="165">
        <f t="shared" ca="1" si="105"/>
        <v>72.746030837964483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IFERROR(__xludf.DUMMYFUNCTION("IMPORTRANGE(""https://docs.google.com/spreadsheets/d/11923uPwbBZFjjGgGUA6NLw09EwE0CqkOc4q9oUmW1yo/edit?usp=sharing"",""สุโขทัย!L248"")"),0)</f>
        <v>0</v>
      </c>
      <c r="M353" s="168"/>
      <c r="N353" s="168">
        <f ca="1">IFERROR(__xludf.DUMMYFUNCTION("IMPORTRANGE(""https://docs.google.com/spreadsheets/d/11923uPwbBZFjjGgGUA6NLw09EwE0CqkOc4q9oUmW1yo/edit?usp=sharing"",""สุโขทัย!M248"")"),0)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IFERROR(__xludf.DUMMYFUNCTION("IMPORTRANGE(""https://docs.google.com/spreadsheets/d/11923uPwbBZFjjGgGUA6NLw09EwE0CqkOc4q9oUmW1yo/edit?usp=sharing"",""สุโขทัย!L249"")"),367080)</f>
        <v>367080</v>
      </c>
      <c r="M354" s="168"/>
      <c r="N354" s="167">
        <f ca="1">IFERROR(__xludf.DUMMYFUNCTION("IMPORTRANGE(""https://docs.google.com/spreadsheets/d/11923uPwbBZFjjGgGUA6NLw09EwE0CqkOc4q9oUmW1yo/edit?usp=sharing"",""สุโขทัย!M249"")"),267036.13)</f>
        <v>267036.13</v>
      </c>
      <c r="O354" s="168">
        <f t="shared" ca="1" si="105"/>
        <v>72.746030837964483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IFERROR(__xludf.DUMMYFUNCTION("IMPORTRANGE(""https://docs.google.com/spreadsheets/d/11923uPwbBZFjjGgGUA6NLw09EwE0CqkOc4q9oUmW1yo/edit?usp=sharing"",""สุโขทัย!M250"")"),96000)</f>
        <v>96000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IFERROR(__xludf.DUMMYFUNCTION("IMPORTRANGE(""https://docs.google.com/spreadsheets/d/11923uPwbBZFjjGgGUA6NLw09EwE0CqkOc4q9oUmW1yo/edit?usp=sharing"",""สุโขทัย!M251"")"),0)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IFERROR(__xludf.DUMMYFUNCTION("IMPORTRANGE(""https://docs.google.com/spreadsheets/d/11923uPwbBZFjjGgGUA6NLw09EwE0CqkOc4q9oUmW1yo/edit?usp=sharing"",""สุโขทัย!M252"")"),74516.13)</f>
        <v>74516.13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IFERROR(__xludf.DUMMYFUNCTION("IMPORTRANGE(""https://docs.google.com/spreadsheets/d/11923uPwbBZFjjGgGUA6NLw09EwE0CqkOc4q9oUmW1yo/edit?usp=sharing"",""สุโขทัย!M253"")"),96520)</f>
        <v>96520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IFERROR(__xludf.DUMMYFUNCTION("IMPORTRANGE(""https://docs.google.com/spreadsheets/d/11923uPwbBZFjjGgGUA6NLw09EwE0CqkOc4q9oUmW1yo/edit?usp=sharing"",""สุโขทัย!J255"")"),0)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IFERROR(__xludf.DUMMYFUNCTION("IMPORTRANGE(""https://docs.google.com/spreadsheets/d/11923uPwbBZFjjGgGUA6NLw09EwE0CqkOc4q9oUmW1yo/edit?usp=sharing"",""สุโขทัย!J256"")"),1)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IFERROR(__xludf.DUMMYFUNCTION("IMPORTRANGE(""https://docs.google.com/spreadsheets/d/11923uPwbBZFjjGgGUA6NLw09EwE0CqkOc4q9oUmW1yo/edit?usp=sharing"",""สุโขทัย!J257"")"),1)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IFERROR(__xludf.DUMMYFUNCTION("IMPORTRANGE(""https://docs.google.com/spreadsheets/d/11923uPwbBZFjjGgGUA6NLw09EwE0CqkOc4q9oUmW1yo/edit?usp=sharing"",""สุโขทัย!J258"")"),1)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IFERROR(__xludf.DUMMYFUNCTION("IMPORTRANGE(""https://docs.google.com/spreadsheets/d/11923uPwbBZFjjGgGUA6NLw09EwE0CqkOc4q9oUmW1yo/edit?usp=sharing"",""สุโขทัย!J166"")"),0)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IFERROR(__xludf.DUMMYFUNCTION("IMPORTRANGE(""https://docs.google.com/spreadsheets/d/11923uPwbBZFjjGgGUA6NLw09EwE0CqkOc4q9oUmW1yo/edit?usp=sharing"",""สุโขทัย!J166"")"),0)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IFERROR(__xludf.DUMMYFUNCTION("IMPORTRANGE(""https://docs.google.com/spreadsheets/d/11923uPwbBZFjjGgGUA6NLw09EwE0CqkOc4q9oUmW1yo/edit?usp=sharing"",""สุโขทัย!J166"")"),0)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IFERROR(__xludf.DUMMYFUNCTION("IMPORTRANGE(""https://docs.google.com/spreadsheets/d/11923uPwbBZFjjGgGUA6NLw09EwE0CqkOc4q9oUmW1yo/edit?usp=sharing"",""สุโขทัย!J166"")"),0)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IFERROR(__xludf.DUMMYFUNCTION("IMPORTRANGE(""https://docs.google.com/spreadsheets/d/11923uPwbBZFjjGgGUA6NLw09EwE0CqkOc4q9oUmW1yo/edit?usp=sharing"",""สุโขทัย!I263"")"),80)</f>
        <v>80</v>
      </c>
      <c r="J368" s="187">
        <f ca="1">IFERROR(__xludf.DUMMYFUNCTION("IMPORTRANGE(""https://docs.google.com/spreadsheets/d/11923uPwbBZFjjGgGUA6NLw09EwE0CqkOc4q9oUmW1yo/edit?usp=sharing"",""สุโขทัย!J263"")"),80)</f>
        <v>80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IFERROR(__xludf.DUMMYFUNCTION("IMPORTRANGE(""https://docs.google.com/spreadsheets/d/11923uPwbBZFjjGgGUA6NLw09EwE0CqkOc4q9oUmW1yo/edit?usp=sharing"",""สุโขทัย!I164"")"),0)</f>
        <v>0</v>
      </c>
      <c r="J369" s="203">
        <f ca="1">IFERROR(__xludf.DUMMYFUNCTION("IMPORTRANGE(""https://docs.google.com/spreadsheets/d/11923uPwbBZFjjGgGUA6NLw09EwE0CqkOc4q9oUmW1yo/edit?usp=sharing"",""สุโขทัย!J164"")"),0)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IFERROR(__xludf.DUMMYFUNCTION("IMPORTRANGE(""https://docs.google.com/spreadsheets/d/11923uPwbBZFjjGgGUA6NLw09EwE0CqkOc4q9oUmW1yo/edit?usp=sharing"",""สุโขทัย!I265"")"),80)</f>
        <v>80</v>
      </c>
      <c r="J370" s="203">
        <f ca="1">IFERROR(__xludf.DUMMYFUNCTION("IMPORTRANGE(""https://docs.google.com/spreadsheets/d/11923uPwbBZFjjGgGUA6NLw09EwE0CqkOc4q9oUmW1yo/edit?usp=sharing"",""สุโขทัย!J265"")"),80)</f>
        <v>80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IFERROR(__xludf.DUMMYFUNCTION("IMPORTRANGE(""https://docs.google.com/spreadsheets/d/11923uPwbBZFjjGgGUA6NLw09EwE0CqkOc4q9oUmW1yo/edit?usp=sharing"",""สุโขทัย!I164"")"),0)</f>
        <v>0</v>
      </c>
      <c r="J371" s="188">
        <f ca="1">IFERROR(__xludf.DUMMYFUNCTION("IMPORTRANGE(""https://docs.google.com/spreadsheets/d/11923uPwbBZFjjGgGUA6NLw09EwE0CqkOc4q9oUmW1yo/edit?usp=sharing"",""สุโขทัย!J164"")"),0)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IFERROR(__xludf.DUMMYFUNCTION("IMPORTRANGE(""https://docs.google.com/spreadsheets/d/11923uPwbBZFjjGgGUA6NLw09EwE0CqkOc4q9oUmW1yo/edit?usp=sharing"",""สุโขทัย!I267"")"),80)</f>
        <v>80</v>
      </c>
      <c r="J372" s="188">
        <f ca="1">IFERROR(__xludf.DUMMYFUNCTION("IMPORTRANGE(""https://docs.google.com/spreadsheets/d/11923uPwbBZFjjGgGUA6NLw09EwE0CqkOc4q9oUmW1yo/edit?usp=sharing"",""สุโขทัย!J267"")"),80)</f>
        <v>80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IFERROR(__xludf.DUMMYFUNCTION("IMPORTRANGE(""https://docs.google.com/spreadsheets/d/11923uPwbBZFjjGgGUA6NLw09EwE0CqkOc4q9oUmW1yo/edit?usp=sharing"",""สุโขทัย!I164"")"),0)</f>
        <v>0</v>
      </c>
      <c r="J373" s="203">
        <f ca="1">IFERROR(__xludf.DUMMYFUNCTION("IMPORTRANGE(""https://docs.google.com/spreadsheets/d/11923uPwbBZFjjGgGUA6NLw09EwE0CqkOc4q9oUmW1yo/edit?usp=sharing"",""สุโขทัย!J164"")"),0)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IFERROR(__xludf.DUMMYFUNCTION("IMPORTRANGE(""https://docs.google.com/spreadsheets/d/11923uPwbBZFjjGgGUA6NLw09EwE0CqkOc4q9oUmW1yo/edit?usp=sharing"",""สุโขทัย!I164"")"),0)</f>
        <v>0</v>
      </c>
      <c r="J374" s="187">
        <f ca="1">IFERROR(__xludf.DUMMYFUNCTION("IMPORTRANGE(""https://docs.google.com/spreadsheets/d/11923uPwbBZFjjGgGUA6NLw09EwE0CqkOc4q9oUmW1yo/edit?usp=sharing"",""สุโขทัย!J164"")"),0)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IFERROR(__xludf.DUMMYFUNCTION("IMPORTRANGE(""https://docs.google.com/spreadsheets/d/11923uPwbBZFjjGgGUA6NLw09EwE0CqkOc4q9oUmW1yo/edit?usp=sharing"",""สุโขทัย!I270"")"),80)</f>
        <v>80</v>
      </c>
      <c r="J375" s="187">
        <f ca="1">IFERROR(__xludf.DUMMYFUNCTION("IMPORTRANGE(""https://docs.google.com/spreadsheets/d/11923uPwbBZFjjGgGUA6NLw09EwE0CqkOc4q9oUmW1yo/edit?usp=sharing"",""สุโขทัย!J270"")"),80)</f>
        <v>80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IFERROR(__xludf.DUMMYFUNCTION("IMPORTRANGE(""https://docs.google.com/spreadsheets/d/11923uPwbBZFjjGgGUA6NLw09EwE0CqkOc4q9oUmW1yo/edit?usp=sharing"",""สุโขทัย!I271"")"),46)</f>
        <v>46</v>
      </c>
      <c r="J376" s="188">
        <f ca="1">IFERROR(__xludf.DUMMYFUNCTION("IMPORTRANGE(""https://docs.google.com/spreadsheets/d/11923uPwbBZFjjGgGUA6NLw09EwE0CqkOc4q9oUmW1yo/edit?usp=sharing"",""สุโขทัย!J271"")"),46)</f>
        <v>46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IFERROR(__xludf.DUMMYFUNCTION("IMPORTRANGE(""https://docs.google.com/spreadsheets/d/11923uPwbBZFjjGgGUA6NLw09EwE0CqkOc4q9oUmW1yo/edit?usp=sharing"",""สุโขทัย!I272"")"),34)</f>
        <v>34</v>
      </c>
      <c r="J377" s="203">
        <f ca="1">IFERROR(__xludf.DUMMYFUNCTION("IMPORTRANGE(""https://docs.google.com/spreadsheets/d/11923uPwbBZFjjGgGUA6NLw09EwE0CqkOc4q9oUmW1yo/edit?usp=sharing"",""สุโขทัย!J272"")"),34)</f>
        <v>34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IFERROR(__xludf.DUMMYFUNCTION("IMPORTRANGE(""https://docs.google.com/spreadsheets/d/11923uPwbBZFjjGgGUA6NLw09EwE0CqkOc4q9oUmW1yo/edit?usp=sharing"",""สุโขทัย!J273"")"),0)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IFERROR(__xludf.DUMMYFUNCTION("IMPORTRANGE(""https://docs.google.com/spreadsheets/d/11923uPwbBZFjjGgGUA6NLw09EwE0CqkOc4q9oUmW1yo/edit?usp=sharing"",""สุโขทัย!J274"")"),0)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IFERROR(__xludf.DUMMYFUNCTION("IMPORTRANGE(""https://docs.google.com/spreadsheets/d/11923uPwbBZFjjGgGUA6NLw09EwE0CqkOc4q9oUmW1yo/edit?usp=sharing"",""สุโขทัย!I275"")"),200)</f>
        <v>200</v>
      </c>
      <c r="J380" s="370">
        <f ca="1">IFERROR(__xludf.DUMMYFUNCTION("IMPORTRANGE(""https://docs.google.com/spreadsheets/d/11923uPwbBZFjjGgGUA6NLw09EwE0CqkOc4q9oUmW1yo/edit?usp=sharing"",""สุโขทัย!J275"")"),0)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IFERROR(__xludf.DUMMYFUNCTION("IMPORTRANGE(""https://docs.google.com/spreadsheets/d/11923uPwbBZFjjGgGUA6NLw09EwE0CqkOc4q9oUmW1yo/edit?usp=sharing"",""สุโขทัย!L275"")"),207560)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IFERROR(__xludf.DUMMYFUNCTION("IMPORTRANGE(""https://docs.google.com/spreadsheets/d/11923uPwbBZFjjGgGUA6NLw09EwE0CqkOc4q9oUmW1yo/edit?usp=sharing"",""สุโขทัย!M275"")"),65000)</f>
        <v>65000</v>
      </c>
      <c r="O380" s="372">
        <f ca="1">+IF(L380&gt;0,N380*100/L380,0)</f>
        <v>31.316245904798613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IFERROR(__xludf.DUMMYFUNCTION("IMPORTRANGE(""https://docs.google.com/spreadsheets/d/11923uPwbBZFjjGgGUA6NLw09EwE0CqkOc4q9oUmW1yo/edit?usp=sharing"",""สุโขทัย!I276"")"),20)</f>
        <v>20</v>
      </c>
      <c r="J381" s="370">
        <f ca="1">IFERROR(__xludf.DUMMYFUNCTION("IMPORTRANGE(""https://docs.google.com/spreadsheets/d/11923uPwbBZFjjGgGUA6NLw09EwE0CqkOc4q9oUmW1yo/edit?usp=sharing"",""สุโขทัย!J276"")"),20)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IFERROR(__xludf.DUMMYFUNCTION("IMPORTRANGE(""https://docs.google.com/spreadsheets/d/11923uPwbBZFjjGgGUA6NLw09EwE0CqkOc4q9oUmW1yo/edit?usp=sharing"",""สุโขทัย!L277"")"),0)</f>
        <v>0</v>
      </c>
      <c r="M382" s="164"/>
      <c r="N382" s="164">
        <f ca="1">IFERROR(__xludf.DUMMYFUNCTION("IMPORTRANGE(""https://docs.google.com/spreadsheets/d/11923uPwbBZFjjGgGUA6NLw09EwE0CqkOc4q9oUmW1yo/edit?usp=sharing"",""สุโขทัย!M277"")"),0)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IFERROR(__xludf.DUMMYFUNCTION("IMPORTRANGE(""https://docs.google.com/spreadsheets/d/11923uPwbBZFjjGgGUA6NLw09EwE0CqkOc4q9oUmW1yo/edit?usp=sharing"",""สุโขทัย!L278"")"),207560)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IFERROR(__xludf.DUMMYFUNCTION("IMPORTRANGE(""https://docs.google.com/spreadsheets/d/11923uPwbBZFjjGgGUA6NLw09EwE0CqkOc4q9oUmW1yo/edit?usp=sharing"",""สุโขทัย!M278"")"),65000)</f>
        <v>65000</v>
      </c>
      <c r="O383" s="165">
        <f t="shared" ca="1" si="109"/>
        <v>31.316245904798613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IFERROR(__xludf.DUMMYFUNCTION("IMPORTRANGE(""https://docs.google.com/spreadsheets/d/11923uPwbBZFjjGgGUA6NLw09EwE0CqkOc4q9oUmW1yo/edit?usp=sharing"",""สุโขทัย!L279"")"),0)</f>
        <v>0</v>
      </c>
      <c r="M384" s="168"/>
      <c r="N384" s="168">
        <f ca="1">IFERROR(__xludf.DUMMYFUNCTION("IMPORTRANGE(""https://docs.google.com/spreadsheets/d/11923uPwbBZFjjGgGUA6NLw09EwE0CqkOc4q9oUmW1yo/edit?usp=sharing"",""สุโขทัย!M279"")"),0)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IFERROR(__xludf.DUMMYFUNCTION("IMPORTRANGE(""https://docs.google.com/spreadsheets/d/11923uPwbBZFjjGgGUA6NLw09EwE0CqkOc4q9oUmW1yo/edit?usp=sharing"",""สุโขทัย!L280"")"),207560)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IFERROR(__xludf.DUMMYFUNCTION("IMPORTRANGE(""https://docs.google.com/spreadsheets/d/11923uPwbBZFjjGgGUA6NLw09EwE0CqkOc4q9oUmW1yo/edit?usp=sharing"",""สุโขทัย!M280"")"),65000)</f>
        <v>65000</v>
      </c>
      <c r="O385" s="168">
        <f t="shared" ca="1" si="109"/>
        <v>31.316245904798613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IFERROR(__xludf.DUMMYFUNCTION("IMPORTRANGE(""https://docs.google.com/spreadsheets/d/11923uPwbBZFjjGgGUA6NLw09EwE0CqkOc4q9oUmW1yo/edit?usp=sharing"",""สุโขทัย!M281"")"),59200)</f>
        <v>59200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IFERROR(__xludf.DUMMYFUNCTION("IMPORTRANGE(""https://docs.google.com/spreadsheets/d/11923uPwbBZFjjGgGUA6NLw09EwE0CqkOc4q9oUmW1yo/edit?usp=sharing"",""สุโขทัย!M282"")"),0)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IFERROR(__xludf.DUMMYFUNCTION("IMPORTRANGE(""https://docs.google.com/spreadsheets/d/11923uPwbBZFjjGgGUA6NLw09EwE0CqkOc4q9oUmW1yo/edit?usp=sharing"",""สุโขทัย!M283"")"),0)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IFERROR(__xludf.DUMMYFUNCTION("IMPORTRANGE(""https://docs.google.com/spreadsheets/d/11923uPwbBZFjjGgGUA6NLw09EwE0CqkOc4q9oUmW1yo/edit?usp=sharing"",""สุโขทัย!M284"")"),5800)</f>
        <v>5800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IFERROR(__xludf.DUMMYFUNCTION("IMPORTRANGE(""https://docs.google.com/spreadsheets/d/11923uPwbBZFjjGgGUA6NLw09EwE0CqkOc4q9oUmW1yo/edit?usp=sharing"",""สุโขทัย!J286"")"),0)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IFERROR(__xludf.DUMMYFUNCTION("IMPORTRANGE(""https://docs.google.com/spreadsheets/d/11923uPwbBZFjjGgGUA6NLw09EwE0CqkOc4q9oUmW1yo/edit?usp=sharing"",""สุโขทัย!J287"")"),1)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IFERROR(__xludf.DUMMYFUNCTION("IMPORTRANGE(""https://docs.google.com/spreadsheets/d/11923uPwbBZFjjGgGUA6NLw09EwE0CqkOc4q9oUmW1yo/edit?usp=sharing"",""สุโขทัย!J288"")"),1)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IFERROR(__xludf.DUMMYFUNCTION("IMPORTRANGE(""https://docs.google.com/spreadsheets/d/11923uPwbBZFjjGgGUA6NLw09EwE0CqkOc4q9oUmW1yo/edit?usp=sharing"",""สุโขทัย!J289"")"),1)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IFERROR(__xludf.DUMMYFUNCTION("IMPORTRANGE(""https://docs.google.com/spreadsheets/d/11923uPwbBZFjjGgGUA6NLw09EwE0CqkOc4q9oUmW1yo/edit?usp=sharing"",""สุโขทัย!I291"")"),20)</f>
        <v>20</v>
      </c>
      <c r="J396" s="197">
        <f ca="1">IFERROR(__xludf.DUMMYFUNCTION("IMPORTRANGE(""https://docs.google.com/spreadsheets/d/11923uPwbBZFjjGgGUA6NLw09EwE0CqkOc4q9oUmW1yo/edit?usp=sharing"",""สุโขทัย!J291"")"),20)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IFERROR(__xludf.DUMMYFUNCTION("IMPORTRANGE(""https://docs.google.com/spreadsheets/d/11923uPwbBZFjjGgGUA6NLw09EwE0CqkOc4q9oUmW1yo/edit?usp=sharing"",""สุโขทัย!I292"")"),200)</f>
        <v>200</v>
      </c>
      <c r="J397" s="197">
        <f ca="1">IFERROR(__xludf.DUMMYFUNCTION("IMPORTRANGE(""https://docs.google.com/spreadsheets/d/11923uPwbBZFjjGgGUA6NLw09EwE0CqkOc4q9oUmW1yo/edit?usp=sharing"",""สุโขทัย!J292"")"),0)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IFERROR(__xludf.DUMMYFUNCTION("IMPORTRANGE(""https://docs.google.com/spreadsheets/d/11923uPwbBZFjjGgGUA6NLw09EwE0CqkOc4q9oUmW1yo/edit?usp=sharing"",""สุโขทัย!I293"")"),20)</f>
        <v>20</v>
      </c>
      <c r="J398" s="197">
        <f ca="1">IFERROR(__xludf.DUMMYFUNCTION("IMPORTRANGE(""https://docs.google.com/spreadsheets/d/11923uPwbBZFjjGgGUA6NLw09EwE0CqkOc4q9oUmW1yo/edit?usp=sharing"",""สุโขทัย!J293"")"),0)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IFERROR(__xludf.DUMMYFUNCTION("IMPORTRANGE(""https://docs.google.com/spreadsheets/d/11923uPwbBZFjjGgGUA6NLw09EwE0CqkOc4q9oUmW1yo/edit?usp=sharing"",""สุโขทัย!J294"")"),0)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IFERROR(__xludf.DUMMYFUNCTION("IMPORTRANGE(""https://docs.google.com/spreadsheets/d/11923uPwbBZFjjGgGUA6NLw09EwE0CqkOc4q9oUmW1yo/edit?usp=sharing"",""สุโขทัย!J295"")"),0)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IFERROR(__xludf.DUMMYFUNCTION("IMPORTRANGE(""https://docs.google.com/spreadsheets/d/11923uPwbBZFjjGgGUA6NLw09EwE0CqkOc4q9oUmW1yo/edit?usp=sharing"",""สุโขทัย!I296"")"),285)</f>
        <v>285</v>
      </c>
      <c r="J401" s="370">
        <f ca="1">IFERROR(__xludf.DUMMYFUNCTION("IMPORTRANGE(""https://docs.google.com/spreadsheets/d/11923uPwbBZFjjGgGUA6NLw09EwE0CqkOc4q9oUmW1yo/edit?usp=sharing"",""สุโขทัย!J296"")"),285)</f>
        <v>285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IFERROR(__xludf.DUMMYFUNCTION("IMPORTRANGE(""https://docs.google.com/spreadsheets/d/11923uPwbBZFjjGgGUA6NLw09EwE0CqkOc4q9oUmW1yo/edit?usp=sharing"",""สุโขทัย!L296"")"),300950)</f>
        <v>300950</v>
      </c>
      <c r="M401" s="372"/>
      <c r="N401" s="372">
        <f ca="1">IFERROR(__xludf.DUMMYFUNCTION("IMPORTRANGE(""https://docs.google.com/spreadsheets/d/11923uPwbBZFjjGgGUA6NLw09EwE0CqkOc4q9oUmW1yo/edit?usp=sharing"",""สุโขทัย!M296"")"),262365)</f>
        <v>262365</v>
      </c>
      <c r="O401" s="372">
        <f ca="1">+IF(L401&gt;0,N401*100/L401,0)</f>
        <v>87.178933377637478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IFERROR(__xludf.DUMMYFUNCTION("IMPORTRANGE(""https://docs.google.com/spreadsheets/d/11923uPwbBZFjjGgGUA6NLw09EwE0CqkOc4q9oUmW1yo/edit?usp=sharing"",""สุโขทัย!I297"")"),95)</f>
        <v>95</v>
      </c>
      <c r="J402" s="370">
        <f ca="1">IFERROR(__xludf.DUMMYFUNCTION("IMPORTRANGE(""https://docs.google.com/spreadsheets/d/11923uPwbBZFjjGgGUA6NLw09EwE0CqkOc4q9oUmW1yo/edit?usp=sharing"",""สุโขทัย!J297"")"),95)</f>
        <v>95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IFERROR(__xludf.DUMMYFUNCTION("IMPORTRANGE(""https://docs.google.com/spreadsheets/d/11923uPwbBZFjjGgGUA6NLw09EwE0CqkOc4q9oUmW1yo/edit?usp=sharing"",""สุโขทัย!L298"")"),0)</f>
        <v>0</v>
      </c>
      <c r="M403" s="164"/>
      <c r="N403" s="168">
        <f ca="1">IFERROR(__xludf.DUMMYFUNCTION("IMPORTRANGE(""https://docs.google.com/spreadsheets/d/11923uPwbBZFjjGgGUA6NLw09EwE0CqkOc4q9oUmW1yo/edit?usp=sharing"",""สุโขทัย!M298"")"),0)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IFERROR(__xludf.DUMMYFUNCTION("IMPORTRANGE(""https://docs.google.com/spreadsheets/d/11923uPwbBZFjjGgGUA6NLw09EwE0CqkOc4q9oUmW1yo/edit?usp=sharing"",""สุโขทัย!L299"")"),300950)</f>
        <v>300950</v>
      </c>
      <c r="M404" s="165"/>
      <c r="N404" s="168">
        <f ca="1">IFERROR(__xludf.DUMMYFUNCTION("IMPORTRANGE(""https://docs.google.com/spreadsheets/d/11923uPwbBZFjjGgGUA6NLw09EwE0CqkOc4q9oUmW1yo/edit?usp=sharing"",""สุโขทัย!M299"")"),262365)</f>
        <v>262365</v>
      </c>
      <c r="O404" s="168">
        <f t="shared" ca="1" si="112"/>
        <v>87.178933377637478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IFERROR(__xludf.DUMMYFUNCTION("IMPORTRANGE(""https://docs.google.com/spreadsheets/d/11923uPwbBZFjjGgGUA6NLw09EwE0CqkOc4q9oUmW1yo/edit?usp=sharing"",""สุโขทัย!L300"")"),0)</f>
        <v>0</v>
      </c>
      <c r="M405" s="168"/>
      <c r="N405" s="168">
        <f ca="1">IFERROR(__xludf.DUMMYFUNCTION("IMPORTRANGE(""https://docs.google.com/spreadsheets/d/11923uPwbBZFjjGgGUA6NLw09EwE0CqkOc4q9oUmW1yo/edit?usp=sharing"",""สุโขทัย!M300"")"),0)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IFERROR(__xludf.DUMMYFUNCTION("IMPORTRANGE(""https://docs.google.com/spreadsheets/d/11923uPwbBZFjjGgGUA6NLw09EwE0CqkOc4q9oUmW1yo/edit?usp=sharing"",""สุโขทัย!L301"")"),300950)</f>
        <v>300950</v>
      </c>
      <c r="M406" s="168"/>
      <c r="N406" s="168">
        <f ca="1">IFERROR(__xludf.DUMMYFUNCTION("IMPORTRANGE(""https://docs.google.com/spreadsheets/d/11923uPwbBZFjjGgGUA6NLw09EwE0CqkOc4q9oUmW1yo/edit?usp=sharing"",""สุโขทัย!M301"")"),262365)</f>
        <v>262365</v>
      </c>
      <c r="O406" s="168">
        <f t="shared" ca="1" si="112"/>
        <v>87.178933377637478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IFERROR(__xludf.DUMMYFUNCTION("IMPORTRANGE(""https://docs.google.com/spreadsheets/d/11923uPwbBZFjjGgGUA6NLw09EwE0CqkOc4q9oUmW1yo/edit?usp=sharing"",""สุโขทัย!M302"")"),190945)</f>
        <v>190945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IFERROR(__xludf.DUMMYFUNCTION("IMPORTRANGE(""https://docs.google.com/spreadsheets/d/11923uPwbBZFjjGgGUA6NLw09EwE0CqkOc4q9oUmW1yo/edit?usp=sharing"",""สุโขทัย!M303"")"),51650)</f>
        <v>51650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IFERROR(__xludf.DUMMYFUNCTION("IMPORTRANGE(""https://docs.google.com/spreadsheets/d/11923uPwbBZFjjGgGUA6NLw09EwE0CqkOc4q9oUmW1yo/edit?usp=sharing"",""สุโขทัย!M304"")"),0)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IFERROR(__xludf.DUMMYFUNCTION("IMPORTRANGE(""https://docs.google.com/spreadsheets/d/11923uPwbBZFjjGgGUA6NLw09EwE0CqkOc4q9oUmW1yo/edit?usp=sharing"",""สุโขทัย!M305"")"),19770)</f>
        <v>19770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IFERROR(__xludf.DUMMYFUNCTION("IMPORTRANGE(""https://docs.google.com/spreadsheets/d/11923uPwbBZFjjGgGUA6NLw09EwE0CqkOc4q9oUmW1yo/edit?usp=sharing"",""สุโขทัย!J307"")"),0)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IFERROR(__xludf.DUMMYFUNCTION("IMPORTRANGE(""https://docs.google.com/spreadsheets/d/11923uPwbBZFjjGgGUA6NLw09EwE0CqkOc4q9oUmW1yo/edit?usp=sharing"",""สุโขทัย!J308"")"),1)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IFERROR(__xludf.DUMMYFUNCTION("IMPORTRANGE(""https://docs.google.com/spreadsheets/d/11923uPwbBZFjjGgGUA6NLw09EwE0CqkOc4q9oUmW1yo/edit?usp=sharing"",""สุโขทัย!J309"")"),1)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IFERROR(__xludf.DUMMYFUNCTION("IMPORTRANGE(""https://docs.google.com/spreadsheets/d/11923uPwbBZFjjGgGUA6NLw09EwE0CqkOc4q9oUmW1yo/edit?usp=sharing"",""สุโขทัย!J310"")"),1)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IFERROR(__xludf.DUMMYFUNCTION("IMPORTRANGE(""https://docs.google.com/spreadsheets/d/11923uPwbBZFjjGgGUA6NLw09EwE0CqkOc4q9oUmW1yo/edit?usp=sharing"",""สุโขทัย!I311"")"),95)</f>
        <v>95</v>
      </c>
      <c r="J416" s="200">
        <f ca="1">IFERROR(__xludf.DUMMYFUNCTION("IMPORTRANGE(""https://docs.google.com/spreadsheets/d/11923uPwbBZFjjGgGUA6NLw09EwE0CqkOc4q9oUmW1yo/edit?usp=sharing"",""สุโขทัย!J311"")"),95)</f>
        <v>95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IFERROR(__xludf.DUMMYFUNCTION("IMPORTRANGE(""https://docs.google.com/spreadsheets/d/11923uPwbBZFjjGgGUA6NLw09EwE0CqkOc4q9oUmW1yo/edit?usp=sharing"",""สุโขทัย!I312"")"),10)</f>
        <v>10</v>
      </c>
      <c r="J417" s="391">
        <f ca="1">IFERROR(__xludf.DUMMYFUNCTION("IMPORTRANGE(""https://docs.google.com/spreadsheets/d/11923uPwbBZFjjGgGUA6NLw09EwE0CqkOc4q9oUmW1yo/edit?usp=sharing"",""สุโขทัย!J312"")"),10)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IFERROR(__xludf.DUMMYFUNCTION("IMPORTRANGE(""https://docs.google.com/spreadsheets/d/11923uPwbBZFjjGgGUA6NLw09EwE0CqkOc4q9oUmW1yo/edit?usp=sharing"",""สุโขทัย!I313"")"),30)</f>
        <v>30</v>
      </c>
      <c r="J418" s="392">
        <f ca="1">IFERROR(__xludf.DUMMYFUNCTION("IMPORTRANGE(""https://docs.google.com/spreadsheets/d/11923uPwbBZFjjGgGUA6NLw09EwE0CqkOc4q9oUmW1yo/edit?usp=sharing"",""สุโขทัย!J313"")"),30)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IFERROR(__xludf.DUMMYFUNCTION("IMPORTRANGE(""https://docs.google.com/spreadsheets/d/11923uPwbBZFjjGgGUA6NLw09EwE0CqkOc4q9oUmW1yo/edit?usp=sharing"",""สุโขทัย!I314"")"),10)</f>
        <v>10</v>
      </c>
      <c r="J419" s="393">
        <f ca="1">IFERROR(__xludf.DUMMYFUNCTION("IMPORTRANGE(""https://docs.google.com/spreadsheets/d/11923uPwbBZFjjGgGUA6NLw09EwE0CqkOc4q9oUmW1yo/edit?usp=sharing"",""สุโขทัย!J314"")"),10)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IFERROR(__xludf.DUMMYFUNCTION("IMPORTRANGE(""https://docs.google.com/spreadsheets/d/11923uPwbBZFjjGgGUA6NLw09EwE0CqkOc4q9oUmW1yo/edit?usp=sharing"",""สุโขทัย!I315"")"),10)</f>
        <v>10</v>
      </c>
      <c r="J420" s="393">
        <f ca="1">IFERROR(__xludf.DUMMYFUNCTION("IMPORTRANGE(""https://docs.google.com/spreadsheets/d/11923uPwbBZFjjGgGUA6NLw09EwE0CqkOc4q9oUmW1yo/edit?usp=sharing"",""สุโขทัย!J315"")"),10)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IFERROR(__xludf.DUMMYFUNCTION("IMPORTRANGE(""https://docs.google.com/spreadsheets/d/11923uPwbBZFjjGgGUA6NLw09EwE0CqkOc4q9oUmW1yo/edit?usp=sharing"",""สุโขทัย!I316"")"),75)</f>
        <v>75</v>
      </c>
      <c r="J421" s="391">
        <f ca="1">IFERROR(__xludf.DUMMYFUNCTION("IMPORTRANGE(""https://docs.google.com/spreadsheets/d/11923uPwbBZFjjGgGUA6NLw09EwE0CqkOc4q9oUmW1yo/edit?usp=sharing"",""สุโขทัย!J316"")"),75)</f>
        <v>75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IFERROR(__xludf.DUMMYFUNCTION("IMPORTRANGE(""https://docs.google.com/spreadsheets/d/11923uPwbBZFjjGgGUA6NLw09EwE0CqkOc4q9oUmW1yo/edit?usp=sharing"",""สุโขทัย!I317"")"),225)</f>
        <v>225</v>
      </c>
      <c r="J422" s="392">
        <f ca="1">IFERROR(__xludf.DUMMYFUNCTION("IMPORTRANGE(""https://docs.google.com/spreadsheets/d/11923uPwbBZFjjGgGUA6NLw09EwE0CqkOc4q9oUmW1yo/edit?usp=sharing"",""สุโขทัย!J317"")"),225)</f>
        <v>225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IFERROR(__xludf.DUMMYFUNCTION("IMPORTRANGE(""https://docs.google.com/spreadsheets/d/11923uPwbBZFjjGgGUA6NLw09EwE0CqkOc4q9oUmW1yo/edit?usp=sharing"",""สุโขทัย!I318"")"),75)</f>
        <v>75</v>
      </c>
      <c r="J423" s="393">
        <f ca="1">IFERROR(__xludf.DUMMYFUNCTION("IMPORTRANGE(""https://docs.google.com/spreadsheets/d/11923uPwbBZFjjGgGUA6NLw09EwE0CqkOc4q9oUmW1yo/edit?usp=sharing"",""สุโขทัย!J318"")"),75)</f>
        <v>75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IFERROR(__xludf.DUMMYFUNCTION("IMPORTRANGE(""https://docs.google.com/spreadsheets/d/11923uPwbBZFjjGgGUA6NLw09EwE0CqkOc4q9oUmW1yo/edit?usp=sharing"",""สุโขทัย!I319"")"),75)</f>
        <v>75</v>
      </c>
      <c r="J424" s="393">
        <f ca="1">IFERROR(__xludf.DUMMYFUNCTION("IMPORTRANGE(""https://docs.google.com/spreadsheets/d/11923uPwbBZFjjGgGUA6NLw09EwE0CqkOc4q9oUmW1yo/edit?usp=sharing"",""สุโขทัย!J319"")"),75)</f>
        <v>75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IFERROR(__xludf.DUMMYFUNCTION("IMPORTRANGE(""https://docs.google.com/spreadsheets/d/11923uPwbBZFjjGgGUA6NLw09EwE0CqkOc4q9oUmW1yo/edit?usp=sharing"",""สุโขทัย!I320"")"),75)</f>
        <v>75</v>
      </c>
      <c r="J425" s="393">
        <f ca="1">IFERROR(__xludf.DUMMYFUNCTION("IMPORTRANGE(""https://docs.google.com/spreadsheets/d/11923uPwbBZFjjGgGUA6NLw09EwE0CqkOc4q9oUmW1yo/edit?usp=sharing"",""สุโขทัย!J320"")"),75)</f>
        <v>75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IFERROR(__xludf.DUMMYFUNCTION("IMPORTRANGE(""https://docs.google.com/spreadsheets/d/11923uPwbBZFjjGgGUA6NLw09EwE0CqkOc4q9oUmW1yo/edit?usp=sharing"",""สุโขทัย!I321"")"),10)</f>
        <v>10</v>
      </c>
      <c r="J426" s="391">
        <f ca="1">IFERROR(__xludf.DUMMYFUNCTION("IMPORTRANGE(""https://docs.google.com/spreadsheets/d/11923uPwbBZFjjGgGUA6NLw09EwE0CqkOc4q9oUmW1yo/edit?usp=sharing"",""สุโขทัย!J321"")"),10)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IFERROR(__xludf.DUMMYFUNCTION("IMPORTRANGE(""https://docs.google.com/spreadsheets/d/11923uPwbBZFjjGgGUA6NLw09EwE0CqkOc4q9oUmW1yo/edit?usp=sharing"",""สุโขทัย!I322"")"),30)</f>
        <v>30</v>
      </c>
      <c r="J427" s="392">
        <f ca="1">IFERROR(__xludf.DUMMYFUNCTION("IMPORTRANGE(""https://docs.google.com/spreadsheets/d/11923uPwbBZFjjGgGUA6NLw09EwE0CqkOc4q9oUmW1yo/edit?usp=sharing"",""สุโขทัย!J322"")"),30)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IFERROR(__xludf.DUMMYFUNCTION("IMPORTRANGE(""https://docs.google.com/spreadsheets/d/11923uPwbBZFjjGgGUA6NLw09EwE0CqkOc4q9oUmW1yo/edit?usp=sharing"",""สุโขทัย!I323"")"),10)</f>
        <v>10</v>
      </c>
      <c r="J428" s="393">
        <f ca="1">IFERROR(__xludf.DUMMYFUNCTION("IMPORTRANGE(""https://docs.google.com/spreadsheets/d/11923uPwbBZFjjGgGUA6NLw09EwE0CqkOc4q9oUmW1yo/edit?usp=sharing"",""สุโขทัย!J323"")"),10)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IFERROR(__xludf.DUMMYFUNCTION("IMPORTRANGE(""https://docs.google.com/spreadsheets/d/11923uPwbBZFjjGgGUA6NLw09EwE0CqkOc4q9oUmW1yo/edit?usp=sharing"",""สุโขทัย!I324"")"),10)</f>
        <v>10</v>
      </c>
      <c r="J429" s="393">
        <f ca="1">IFERROR(__xludf.DUMMYFUNCTION("IMPORTRANGE(""https://docs.google.com/spreadsheets/d/11923uPwbBZFjjGgGUA6NLw09EwE0CqkOc4q9oUmW1yo/edit?usp=sharing"",""สุโขทัย!J324"")"),10)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IFERROR(__xludf.DUMMYFUNCTION("IMPORTRANGE(""https://docs.google.com/spreadsheets/d/11923uPwbBZFjjGgGUA6NLw09EwE0CqkOc4q9oUmW1yo/edit?usp=sharing"",""สุโขทัย!I325"")"),85)</f>
        <v>85</v>
      </c>
      <c r="J430" s="391">
        <f ca="1">IFERROR(__xludf.DUMMYFUNCTION("IMPORTRANGE(""https://docs.google.com/spreadsheets/d/11923uPwbBZFjjGgGUA6NLw09EwE0CqkOc4q9oUmW1yo/edit?usp=sharing"",""สุโขทัย!J325"")"),75)</f>
        <v>75</v>
      </c>
      <c r="K430" s="201">
        <f t="shared" ca="1" si="113"/>
        <v>88.235294117647058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IFERROR(__xludf.DUMMYFUNCTION("IMPORTRANGE(""https://docs.google.com/spreadsheets/d/11923uPwbBZFjjGgGUA6NLw09EwE0CqkOc4q9oUmW1yo/edit?usp=sharing"",""สุโขทัย!I326"")"),10)</f>
        <v>10</v>
      </c>
      <c r="J431" s="393">
        <f ca="1">IFERROR(__xludf.DUMMYFUNCTION("IMPORTRANGE(""https://docs.google.com/spreadsheets/d/11923uPwbBZFjjGgGUA6NLw09EwE0CqkOc4q9oUmW1yo/edit?usp=sharing"",""สุโขทัย!J326"")"),0)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IFERROR(__xludf.DUMMYFUNCTION("IMPORTRANGE(""https://docs.google.com/spreadsheets/d/11923uPwbBZFjjGgGUA6NLw09EwE0CqkOc4q9oUmW1yo/edit?usp=sharing"",""สุโขทัย!I327"")"),75)</f>
        <v>75</v>
      </c>
      <c r="J432" s="393">
        <f ca="1">IFERROR(__xludf.DUMMYFUNCTION("IMPORTRANGE(""https://docs.google.com/spreadsheets/d/11923uPwbBZFjjGgGUA6NLw09EwE0CqkOc4q9oUmW1yo/edit?usp=sharing"",""สุโขทัย!J327"")"),75)</f>
        <v>75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IFERROR(__xludf.DUMMYFUNCTION("IMPORTRANGE(""https://docs.google.com/spreadsheets/d/11923uPwbBZFjjGgGUA6NLw09EwE0CqkOc4q9oUmW1yo/edit?usp=sharing"",""สุโขทัย!J328"")"),0)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IFERROR(__xludf.DUMMYFUNCTION("IMPORTRANGE(""https://docs.google.com/spreadsheets/d/11923uPwbBZFjjGgGUA6NLw09EwE0CqkOc4q9oUmW1yo/edit?usp=sharing"",""สุโขทัย!J329"")"),0)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IFERROR(__xludf.DUMMYFUNCTION("IMPORTRANGE(""https://docs.google.com/spreadsheets/d/11923uPwbBZFjjGgGUA6NLw09EwE0CqkOc4q9oUmW1yo/edit?usp=sharing"",""สุโขทัย!I330"")"),81)</f>
        <v>81</v>
      </c>
      <c r="J435" s="409">
        <f ca="1">IFERROR(__xludf.DUMMYFUNCTION("IMPORTRANGE(""https://docs.google.com/spreadsheets/d/11923uPwbBZFjjGgGUA6NLw09EwE0CqkOc4q9oUmW1yo/edit?usp=sharing"",""สุโขทัย!J330"")"),81)</f>
        <v>81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IFERROR(__xludf.DUMMYFUNCTION("IMPORTRANGE(""https://docs.google.com/spreadsheets/d/11923uPwbBZFjjGgGUA6NLw09EwE0CqkOc4q9oUmW1yo/edit?usp=sharing"",""สุโขทัย!L330"")"),223000)</f>
        <v>223000</v>
      </c>
      <c r="M435" s="411"/>
      <c r="N435" s="411">
        <f ca="1">IFERROR(__xludf.DUMMYFUNCTION("IMPORTRANGE(""https://docs.google.com/spreadsheets/d/11923uPwbBZFjjGgGUA6NLw09EwE0CqkOc4q9oUmW1yo/edit?usp=sharing"",""สุโขทัย!M330"")"),178090)</f>
        <v>178090</v>
      </c>
      <c r="O435" s="411">
        <f t="shared" ref="O435:O439" ca="1" si="114">+IF(L435&gt;0,N435*100/L435,0)</f>
        <v>79.860986547085204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IFERROR(__xludf.DUMMYFUNCTION("IMPORTRANGE(""https://docs.google.com/spreadsheets/d/11923uPwbBZFjjGgGUA6NLw09EwE0CqkOc4q9oUmW1yo/edit?usp=sharing"",""สุโขทัย!L331"")"),0)</f>
        <v>0</v>
      </c>
      <c r="M436" s="164"/>
      <c r="N436" s="168">
        <f ca="1">IFERROR(__xludf.DUMMYFUNCTION("IMPORTRANGE(""https://docs.google.com/spreadsheets/d/11923uPwbBZFjjGgGUA6NLw09EwE0CqkOc4q9oUmW1yo/edit?usp=sharing"",""สุโขทัย!M331"")"),0)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IFERROR(__xludf.DUMMYFUNCTION("IMPORTRANGE(""https://docs.google.com/spreadsheets/d/11923uPwbBZFjjGgGUA6NLw09EwE0CqkOc4q9oUmW1yo/edit?usp=sharing"",""สุโขทัย!L332"")"),223000)</f>
        <v>223000</v>
      </c>
      <c r="M437" s="165"/>
      <c r="N437" s="168">
        <f ca="1">IFERROR(__xludf.DUMMYFUNCTION("IMPORTRANGE(""https://docs.google.com/spreadsheets/d/11923uPwbBZFjjGgGUA6NLw09EwE0CqkOc4q9oUmW1yo/edit?usp=sharing"",""สุโขทัย!M332"")"),178090)</f>
        <v>178090</v>
      </c>
      <c r="O437" s="168">
        <f t="shared" ca="1" si="114"/>
        <v>79.860986547085204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IFERROR(__xludf.DUMMYFUNCTION("IMPORTRANGE(""https://docs.google.com/spreadsheets/d/11923uPwbBZFjjGgGUA6NLw09EwE0CqkOc4q9oUmW1yo/edit?usp=sharing"",""สุโขทัย!L333"")"),0)</f>
        <v>0</v>
      </c>
      <c r="M438" s="168"/>
      <c r="N438" s="168">
        <f ca="1">IFERROR(__xludf.DUMMYFUNCTION("IMPORTRANGE(""https://docs.google.com/spreadsheets/d/11923uPwbBZFjjGgGUA6NLw09EwE0CqkOc4q9oUmW1yo/edit?usp=sharing"",""สุโขทัย!M333"")"),0)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IFERROR(__xludf.DUMMYFUNCTION("IMPORTRANGE(""https://docs.google.com/spreadsheets/d/11923uPwbBZFjjGgGUA6NLw09EwE0CqkOc4q9oUmW1yo/edit?usp=sharing"",""สุโขทัย!L334"")"),223000)</f>
        <v>223000</v>
      </c>
      <c r="M439" s="168"/>
      <c r="N439" s="168">
        <f ca="1">IFERROR(__xludf.DUMMYFUNCTION("IMPORTRANGE(""https://docs.google.com/spreadsheets/d/11923uPwbBZFjjGgGUA6NLw09EwE0CqkOc4q9oUmW1yo/edit?usp=sharing"",""สุโขทัย!M334"")"),178090)</f>
        <v>178090</v>
      </c>
      <c r="O439" s="168">
        <f t="shared" ca="1" si="114"/>
        <v>79.860986547085204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IFERROR(__xludf.DUMMYFUNCTION("IMPORTRANGE(""https://docs.google.com/spreadsheets/d/11923uPwbBZFjjGgGUA6NLw09EwE0CqkOc4q9oUmW1yo/edit?usp=sharing"",""สุโขทัย!M335"")"),167200)</f>
        <v>167200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IFERROR(__xludf.DUMMYFUNCTION("IMPORTRANGE(""https://docs.google.com/spreadsheets/d/11923uPwbBZFjjGgGUA6NLw09EwE0CqkOc4q9oUmW1yo/edit?usp=sharing"",""สุโขทัย!M336"")"),0)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IFERROR(__xludf.DUMMYFUNCTION("IMPORTRANGE(""https://docs.google.com/spreadsheets/d/11923uPwbBZFjjGgGUA6NLw09EwE0CqkOc4q9oUmW1yo/edit?usp=sharing"",""สุโขทัย!M337"")"),0)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IFERROR(__xludf.DUMMYFUNCTION("IMPORTRANGE(""https://docs.google.com/spreadsheets/d/11923uPwbBZFjjGgGUA6NLw09EwE0CqkOc4q9oUmW1yo/edit?usp=sharing"",""สุโขทัย!M338"")"),10890)</f>
        <v>10890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IFERROR(__xludf.DUMMYFUNCTION("IMPORTRANGE(""https://docs.google.com/spreadsheets/d/11923uPwbBZFjjGgGUA6NLw09EwE0CqkOc4q9oUmW1yo/edit?usp=sharing"",""สุโขทัย!J340"")"),0)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IFERROR(__xludf.DUMMYFUNCTION("IMPORTRANGE(""https://docs.google.com/spreadsheets/d/11923uPwbBZFjjGgGUA6NLw09EwE0CqkOc4q9oUmW1yo/edit?usp=sharing"",""สุโขทัย!J341"")"),1)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IFERROR(__xludf.DUMMYFUNCTION("IMPORTRANGE(""https://docs.google.com/spreadsheets/d/11923uPwbBZFjjGgGUA6NLw09EwE0CqkOc4q9oUmW1yo/edit?usp=sharing"",""สุโขทัย!J342"")"),1)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IFERROR(__xludf.DUMMYFUNCTION("IMPORTRANGE(""https://docs.google.com/spreadsheets/d/11923uPwbBZFjjGgGUA6NLw09EwE0CqkOc4q9oUmW1yo/edit?usp=sharing"",""สุโขทัย!J343"")"),1)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IFERROR(__xludf.DUMMYFUNCTION("IMPORTRANGE(""https://docs.google.com/spreadsheets/d/11923uPwbBZFjjGgGUA6NLw09EwE0CqkOc4q9oUmW1yo/edit?usp=sharing"",""สุโขทัย!I344"")"),81)</f>
        <v>81</v>
      </c>
      <c r="J449" s="200">
        <f ca="1">IFERROR(__xludf.DUMMYFUNCTION("IMPORTRANGE(""https://docs.google.com/spreadsheets/d/11923uPwbBZFjjGgGUA6NLw09EwE0CqkOc4q9oUmW1yo/edit?usp=sharing"",""สุโขทัย!J344"")"),81)</f>
        <v>81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IFERROR(__xludf.DUMMYFUNCTION("IMPORTRANGE(""https://docs.google.com/spreadsheets/d/11923uPwbBZFjjGgGUA6NLw09EwE0CqkOc4q9oUmW1yo/edit?usp=sharing"",""สุโขทัย!I345"")"),22)</f>
        <v>22</v>
      </c>
      <c r="J450" s="188">
        <f ca="1">IFERROR(__xludf.DUMMYFUNCTION("IMPORTRANGE(""https://docs.google.com/spreadsheets/d/11923uPwbBZFjjGgGUA6NLw09EwE0CqkOc4q9oUmW1yo/edit?usp=sharing"",""สุโขทัย!J345"")"),22)</f>
        <v>22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IFERROR(__xludf.DUMMYFUNCTION("IMPORTRANGE(""https://docs.google.com/spreadsheets/d/11923uPwbBZFjjGgGUA6NLw09EwE0CqkOc4q9oUmW1yo/edit?usp=sharing"",""สุโขทัย!I346"")"),59)</f>
        <v>59</v>
      </c>
      <c r="J451" s="187">
        <f ca="1">IFERROR(__xludf.DUMMYFUNCTION("IMPORTRANGE(""https://docs.google.com/spreadsheets/d/11923uPwbBZFjjGgGUA6NLw09EwE0CqkOc4q9oUmW1yo/edit?usp=sharing"",""สุโขทัย!J346"")"),59)</f>
        <v>59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IFERROR(__xludf.DUMMYFUNCTION("IMPORTRANGE(""https://docs.google.com/spreadsheets/d/11923uPwbBZFjjGgGUA6NLw09EwE0CqkOc4q9oUmW1yo/edit?usp=sharing"",""สุโขทัย!I347"")"),0)</f>
        <v>0</v>
      </c>
      <c r="J452" s="187">
        <f ca="1">IFERROR(__xludf.DUMMYFUNCTION("IMPORTRANGE(""https://docs.google.com/spreadsheets/d/11923uPwbBZFjjGgGUA6NLw09EwE0CqkOc4q9oUmW1yo/edit?usp=sharing"",""สุโขทัย!J347"")"),0)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IFERROR(__xludf.DUMMYFUNCTION("IMPORTRANGE(""https://docs.google.com/spreadsheets/d/11923uPwbBZFjjGgGUA6NLw09EwE0CqkOc4q9oUmW1yo/edit?usp=sharing"",""สุโขทัย!J348"")"),0)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IFERROR(__xludf.DUMMYFUNCTION("IMPORTRANGE(""https://docs.google.com/spreadsheets/d/11923uPwbBZFjjGgGUA6NLw09EwE0CqkOc4q9oUmW1yo/edit?usp=sharing"",""สุโขทัย!J349"")"),0)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IFERROR(__xludf.DUMMYFUNCTION("IMPORTRANGE(""https://docs.google.com/spreadsheets/d/11923uPwbBZFjjGgGUA6NLw09EwE0CqkOc4q9oUmW1yo/edit?usp=sharing"",""สุโขทัย!I350"")"),35801)</f>
        <v>35801</v>
      </c>
      <c r="J455" s="370">
        <f ca="1">IFERROR(__xludf.DUMMYFUNCTION("IMPORTRANGE(""https://docs.google.com/spreadsheets/d/11923uPwbBZFjjGgGUA6NLw09EwE0CqkOc4q9oUmW1yo/edit?usp=sharing"",""สุโขทัย!J350"")"),30832)</f>
        <v>30832</v>
      </c>
      <c r="K455" s="371">
        <f ca="1">IF(I455&gt;0,J455*100/I455,0)</f>
        <v>86.1204994273903</v>
      </c>
      <c r="L455" s="372">
        <f ca="1">IFERROR(__xludf.DUMMYFUNCTION("IMPORTRANGE(""https://docs.google.com/spreadsheets/d/11923uPwbBZFjjGgGUA6NLw09EwE0CqkOc4q9oUmW1yo/edit?usp=sharing"",""สุโขทัย!L350"")"),424323)</f>
        <v>424323</v>
      </c>
      <c r="M455" s="372"/>
      <c r="N455" s="372">
        <f ca="1">IFERROR(__xludf.DUMMYFUNCTION("IMPORTRANGE(""https://docs.google.com/spreadsheets/d/11923uPwbBZFjjGgGUA6NLw09EwE0CqkOc4q9oUmW1yo/edit?usp=sharing"",""สุโขทัย!M350"")"),257904.27)</f>
        <v>257904.27</v>
      </c>
      <c r="O455" s="372">
        <f t="shared" ref="O455:O459" ca="1" si="116">+IF(L455&gt;0,N455*100/L455,0)</f>
        <v>60.780176893545722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IFERROR(__xludf.DUMMYFUNCTION("IMPORTRANGE(""https://docs.google.com/spreadsheets/d/11923uPwbBZFjjGgGUA6NLw09EwE0CqkOc4q9oUmW1yo/edit?usp=sharing"",""สุโขทัย!L351"")"),0)</f>
        <v>0</v>
      </c>
      <c r="M456" s="164"/>
      <c r="N456" s="168">
        <f ca="1">IFERROR(__xludf.DUMMYFUNCTION("IMPORTRANGE(""https://docs.google.com/spreadsheets/d/11923uPwbBZFjjGgGUA6NLw09EwE0CqkOc4q9oUmW1yo/edit?usp=sharing"",""สุโขทัย!M351"")"),0)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IFERROR(__xludf.DUMMYFUNCTION("IMPORTRANGE(""https://docs.google.com/spreadsheets/d/11923uPwbBZFjjGgGUA6NLw09EwE0CqkOc4q9oUmW1yo/edit?usp=sharing"",""สุโขทัย!L352"")"),424323)</f>
        <v>424323</v>
      </c>
      <c r="M457" s="165"/>
      <c r="N457" s="168">
        <f ca="1">IFERROR(__xludf.DUMMYFUNCTION("IMPORTRANGE(""https://docs.google.com/spreadsheets/d/11923uPwbBZFjjGgGUA6NLw09EwE0CqkOc4q9oUmW1yo/edit?usp=sharing"",""สุโขทัย!M352"")"),257904.27)</f>
        <v>257904.27</v>
      </c>
      <c r="O457" s="168">
        <f t="shared" ca="1" si="116"/>
        <v>60.780176893545722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IFERROR(__xludf.DUMMYFUNCTION("IMPORTRANGE(""https://docs.google.com/spreadsheets/d/11923uPwbBZFjjGgGUA6NLw09EwE0CqkOc4q9oUmW1yo/edit?usp=sharing"",""สุโขทัย!L353"")"),0)</f>
        <v>0</v>
      </c>
      <c r="M458" s="168"/>
      <c r="N458" s="168">
        <f ca="1">IFERROR(__xludf.DUMMYFUNCTION("IMPORTRANGE(""https://docs.google.com/spreadsheets/d/11923uPwbBZFjjGgGUA6NLw09EwE0CqkOc4q9oUmW1yo/edit?usp=sharing"",""สุโขทัย!M353"")"),0)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IFERROR(__xludf.DUMMYFUNCTION("IMPORTRANGE(""https://docs.google.com/spreadsheets/d/11923uPwbBZFjjGgGUA6NLw09EwE0CqkOc4q9oUmW1yo/edit?usp=sharing"",""สุโขทัย!L354"")"),424323)</f>
        <v>424323</v>
      </c>
      <c r="M459" s="168"/>
      <c r="N459" s="168">
        <f ca="1">IFERROR(__xludf.DUMMYFUNCTION("IMPORTRANGE(""https://docs.google.com/spreadsheets/d/11923uPwbBZFjjGgGUA6NLw09EwE0CqkOc4q9oUmW1yo/edit?usp=sharing"",""สุโขทัย!M354"")"),257904.27)</f>
        <v>257904.27</v>
      </c>
      <c r="O459" s="168">
        <f t="shared" ca="1" si="116"/>
        <v>60.780176893545722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IFERROR(__xludf.DUMMYFUNCTION("IMPORTRANGE(""https://docs.google.com/spreadsheets/d/11923uPwbBZFjjGgGUA6NLw09EwE0CqkOc4q9oUmW1yo/edit?usp=sharing"",""สุโขทัย!M355"")"),0)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IFERROR(__xludf.DUMMYFUNCTION("IMPORTRANGE(""https://docs.google.com/spreadsheets/d/11923uPwbBZFjjGgGUA6NLw09EwE0CqkOc4q9oUmW1yo/edit?usp=sharing"",""สุโขทัย!M356"")"),0)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IFERROR(__xludf.DUMMYFUNCTION("IMPORTRANGE(""https://docs.google.com/spreadsheets/d/11923uPwbBZFjjGgGUA6NLw09EwE0CqkOc4q9oUmW1yo/edit?usp=sharing"",""สุโขทัย!M357"")"),75900)</f>
        <v>75900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IFERROR(__xludf.DUMMYFUNCTION("IMPORTRANGE(""https://docs.google.com/spreadsheets/d/11923uPwbBZFjjGgGUA6NLw09EwE0CqkOc4q9oUmW1yo/edit?usp=sharing"",""สุโขทัย!M358"")"),182004.27)</f>
        <v>182004.27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IFERROR(__xludf.DUMMYFUNCTION("IMPORTRANGE(""https://docs.google.com/spreadsheets/d/11923uPwbBZFjjGgGUA6NLw09EwE0CqkOc4q9oUmW1yo/edit?usp=sharing"",""สุโขทัย!I359"")"),35801)</f>
        <v>35801</v>
      </c>
      <c r="J464" s="267">
        <f ca="1">IFERROR(__xludf.DUMMYFUNCTION("IMPORTRANGE(""https://docs.google.com/spreadsheets/d/11923uPwbBZFjjGgGUA6NLw09EwE0CqkOc4q9oUmW1yo/edit?usp=sharing"",""สุโขทัย!J359"")"),30832)</f>
        <v>30832</v>
      </c>
      <c r="K464" s="268">
        <f t="shared" ref="K464:K515" ca="1" si="117">IF(I464&gt;0,J464*100/I464,0)</f>
        <v>86.1204994273903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IFERROR(__xludf.DUMMYFUNCTION("IMPORTRANGE(""https://docs.google.com/spreadsheets/d/11923uPwbBZFjjGgGUA6NLw09EwE0CqkOc4q9oUmW1yo/edit?usp=sharing"",""สุโขทัย!I360"")"),35801)</f>
        <v>35801</v>
      </c>
      <c r="J465" s="420">
        <f ca="1">IFERROR(__xludf.DUMMYFUNCTION("IMPORTRANGE(""https://docs.google.com/spreadsheets/d/11923uPwbBZFjjGgGUA6NLw09EwE0CqkOc4q9oUmW1yo/edit?usp=sharing"",""สุโขทัย!J360"")"),35801)</f>
        <v>35801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IFERROR(__xludf.DUMMYFUNCTION("IMPORTRANGE(""https://docs.google.com/spreadsheets/d/11923uPwbBZFjjGgGUA6NLw09EwE0CqkOc4q9oUmW1yo/edit?usp=sharing"",""สุโขทัย!I361"")"),4578)</f>
        <v>4578</v>
      </c>
      <c r="J466" s="420">
        <f ca="1">IFERROR(__xludf.DUMMYFUNCTION("IMPORTRANGE(""https://docs.google.com/spreadsheets/d/11923uPwbBZFjjGgGUA6NLw09EwE0CqkOc4q9oUmW1yo/edit?usp=sharing"",""สุโขทัย!J361"")"),4578)</f>
        <v>4578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IFERROR(__xludf.DUMMYFUNCTION("IMPORTRANGE(""https://docs.google.com/spreadsheets/d/11923uPwbBZFjjGgGUA6NLw09EwE0CqkOc4q9oUmW1yo/edit?usp=sharing"",""สุโขทัย!I362"")"),0)</f>
        <v>0</v>
      </c>
      <c r="J467" s="188">
        <f ca="1">IFERROR(__xludf.DUMMYFUNCTION("IMPORTRANGE(""https://docs.google.com/spreadsheets/d/11923uPwbBZFjjGgGUA6NLw09EwE0CqkOc4q9oUmW1yo/edit?usp=sharing"",""สุโขทัย!J362"")"),22957)</f>
        <v>22957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IFERROR(__xludf.DUMMYFUNCTION("IMPORTRANGE(""https://docs.google.com/spreadsheets/d/11923uPwbBZFjjGgGUA6NLw09EwE0CqkOc4q9oUmW1yo/edit?usp=sharing"",""สุโขทัย!I363"")"),0)</f>
        <v>0</v>
      </c>
      <c r="J468" s="188">
        <f ca="1">IFERROR(__xludf.DUMMYFUNCTION("IMPORTRANGE(""https://docs.google.com/spreadsheets/d/11923uPwbBZFjjGgGUA6NLw09EwE0CqkOc4q9oUmW1yo/edit?usp=sharing"",""สุโขทัย!J363"")"),2801)</f>
        <v>2801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IFERROR(__xludf.DUMMYFUNCTION("IMPORTRANGE(""https://docs.google.com/spreadsheets/d/11923uPwbBZFjjGgGUA6NLw09EwE0CqkOc4q9oUmW1yo/edit?usp=sharing"",""สุโขทัย!I364"")"),0)</f>
        <v>0</v>
      </c>
      <c r="J469" s="188">
        <f ca="1">IFERROR(__xludf.DUMMYFUNCTION("IMPORTRANGE(""https://docs.google.com/spreadsheets/d/11923uPwbBZFjjGgGUA6NLw09EwE0CqkOc4q9oUmW1yo/edit?usp=sharing"",""สุโขทัย!J364"")"),12109)</f>
        <v>12109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IFERROR(__xludf.DUMMYFUNCTION("IMPORTRANGE(""https://docs.google.com/spreadsheets/d/11923uPwbBZFjjGgGUA6NLw09EwE0CqkOc4q9oUmW1yo/edit?usp=sharing"",""สุโขทัย!I365"")"),0)</f>
        <v>0</v>
      </c>
      <c r="J470" s="188">
        <f ca="1">IFERROR(__xludf.DUMMYFUNCTION("IMPORTRANGE(""https://docs.google.com/spreadsheets/d/11923uPwbBZFjjGgGUA6NLw09EwE0CqkOc4q9oUmW1yo/edit?usp=sharing"",""สุโขทัย!J365"")"),1697)</f>
        <v>1697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IFERROR(__xludf.DUMMYFUNCTION("IMPORTRANGE(""https://docs.google.com/spreadsheets/d/11923uPwbBZFjjGgGUA6NLw09EwE0CqkOc4q9oUmW1yo/edit?usp=sharing"",""สุโขทัย!I366"")"),0)</f>
        <v>0</v>
      </c>
      <c r="J471" s="188">
        <f ca="1">IFERROR(__xludf.DUMMYFUNCTION("IMPORTRANGE(""https://docs.google.com/spreadsheets/d/11923uPwbBZFjjGgGUA6NLw09EwE0CqkOc4q9oUmW1yo/edit?usp=sharing"",""สุโขทัย!J366"")"),735)</f>
        <v>735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IFERROR(__xludf.DUMMYFUNCTION("IMPORTRANGE(""https://docs.google.com/spreadsheets/d/11923uPwbBZFjjGgGUA6NLw09EwE0CqkOc4q9oUmW1yo/edit?usp=sharing"",""สุโขทัย!I367"")"),0)</f>
        <v>0</v>
      </c>
      <c r="J472" s="188">
        <f ca="1">IFERROR(__xludf.DUMMYFUNCTION("IMPORTRANGE(""https://docs.google.com/spreadsheets/d/11923uPwbBZFjjGgGUA6NLw09EwE0CqkOc4q9oUmW1yo/edit?usp=sharing"",""สุโขทัย!J367"")"),80)</f>
        <v>80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IFERROR(__xludf.DUMMYFUNCTION("IMPORTRANGE(""https://docs.google.com/spreadsheets/d/11923uPwbBZFjjGgGUA6NLw09EwE0CqkOc4q9oUmW1yo/edit?usp=sharing"",""สุโขทัย!I368"")"),35801)</f>
        <v>35801</v>
      </c>
      <c r="J473" s="420">
        <f ca="1">IFERROR(__xludf.DUMMYFUNCTION("IMPORTRANGE(""https://docs.google.com/spreadsheets/d/11923uPwbBZFjjGgGUA6NLw09EwE0CqkOc4q9oUmW1yo/edit?usp=sharing"",""สุโขทัย!J368"")"),35802)</f>
        <v>35802</v>
      </c>
      <c r="K473" s="201">
        <f t="shared" ca="1" si="117"/>
        <v>100.00279321806653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IFERROR(__xludf.DUMMYFUNCTION("IMPORTRANGE(""https://docs.google.com/spreadsheets/d/11923uPwbBZFjjGgGUA6NLw09EwE0CqkOc4q9oUmW1yo/edit?usp=sharing"",""สุโขทัย!I369"")"),4578)</f>
        <v>4578</v>
      </c>
      <c r="J474" s="420">
        <f ca="1">IFERROR(__xludf.DUMMYFUNCTION("IMPORTRANGE(""https://docs.google.com/spreadsheets/d/11923uPwbBZFjjGgGUA6NLw09EwE0CqkOc4q9oUmW1yo/edit?usp=sharing"",""สุโขทัย!J369"")"),4578)</f>
        <v>4578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IFERROR(__xludf.DUMMYFUNCTION("IMPORTRANGE(""https://docs.google.com/spreadsheets/d/11923uPwbBZFjjGgGUA6NLw09EwE0CqkOc4q9oUmW1yo/edit?usp=sharing"",""สุโขทัย!I370"")"),0)</f>
        <v>0</v>
      </c>
      <c r="J475" s="188">
        <f ca="1">IFERROR(__xludf.DUMMYFUNCTION("IMPORTRANGE(""https://docs.google.com/spreadsheets/d/11923uPwbBZFjjGgGUA6NLw09EwE0CqkOc4q9oUmW1yo/edit?usp=sharing"",""สุโขทัย!J370"")"),30832)</f>
        <v>30832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IFERROR(__xludf.DUMMYFUNCTION("IMPORTRANGE(""https://docs.google.com/spreadsheets/d/11923uPwbBZFjjGgGUA6NLw09EwE0CqkOc4q9oUmW1yo/edit?usp=sharing"",""สุโขทัย!I371"")"),0)</f>
        <v>0</v>
      </c>
      <c r="J476" s="188">
        <f ca="1">IFERROR(__xludf.DUMMYFUNCTION("IMPORTRANGE(""https://docs.google.com/spreadsheets/d/11923uPwbBZFjjGgGUA6NLw09EwE0CqkOc4q9oUmW1yo/edit?usp=sharing"",""สุโขทัย!J371"")"),4045)</f>
        <v>4045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IFERROR(__xludf.DUMMYFUNCTION("IMPORTRANGE(""https://docs.google.com/spreadsheets/d/11923uPwbBZFjjGgGUA6NLw09EwE0CqkOc4q9oUmW1yo/edit?usp=sharing"",""สุโขทัย!I372"")"),0)</f>
        <v>0</v>
      </c>
      <c r="J477" s="188">
        <f ca="1">IFERROR(__xludf.DUMMYFUNCTION("IMPORTRANGE(""https://docs.google.com/spreadsheets/d/11923uPwbBZFjjGgGUA6NLw09EwE0CqkOc4q9oUmW1yo/edit?usp=sharing"",""สุโขทัย!J372"")"),4158)</f>
        <v>4158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IFERROR(__xludf.DUMMYFUNCTION("IMPORTRANGE(""https://docs.google.com/spreadsheets/d/11923uPwbBZFjjGgGUA6NLw09EwE0CqkOc4q9oUmW1yo/edit?usp=sharing"",""สุโขทัย!I373"")"),0)</f>
        <v>0</v>
      </c>
      <c r="J478" s="188">
        <f ca="1">IFERROR(__xludf.DUMMYFUNCTION("IMPORTRANGE(""https://docs.google.com/spreadsheets/d/11923uPwbBZFjjGgGUA6NLw09EwE0CqkOc4q9oUmW1yo/edit?usp=sharing"",""สุโขทัย!J373"")"),444)</f>
        <v>444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IFERROR(__xludf.DUMMYFUNCTION("IMPORTRANGE(""https://docs.google.com/spreadsheets/d/11923uPwbBZFjjGgGUA6NLw09EwE0CqkOc4q9oUmW1yo/edit?usp=sharing"",""สุโขทัย!I374"")"),0)</f>
        <v>0</v>
      </c>
      <c r="J479" s="188">
        <f ca="1">IFERROR(__xludf.DUMMYFUNCTION("IMPORTRANGE(""https://docs.google.com/spreadsheets/d/11923uPwbBZFjjGgGUA6NLw09EwE0CqkOc4q9oUmW1yo/edit?usp=sharing"",""สุโขทัย!J374"")"),812)</f>
        <v>812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IFERROR(__xludf.DUMMYFUNCTION("IMPORTRANGE(""https://docs.google.com/spreadsheets/d/11923uPwbBZFjjGgGUA6NLw09EwE0CqkOc4q9oUmW1yo/edit?usp=sharing"",""สุโขทัย!I375"")"),0)</f>
        <v>0</v>
      </c>
      <c r="J480" s="188">
        <f ca="1">IFERROR(__xludf.DUMMYFUNCTION("IMPORTRANGE(""https://docs.google.com/spreadsheets/d/11923uPwbBZFjjGgGUA6NLw09EwE0CqkOc4q9oUmW1yo/edit?usp=sharing"",""สุโขทัย!J375"")"),89)</f>
        <v>89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IFERROR(__xludf.DUMMYFUNCTION("IMPORTRANGE(""https://docs.google.com/spreadsheets/d/11923uPwbBZFjjGgGUA6NLw09EwE0CqkOc4q9oUmW1yo/edit?usp=sharing"",""สุโขทัย!I376"")"),35801)</f>
        <v>35801</v>
      </c>
      <c r="J481" s="420">
        <f ca="1">IFERROR(__xludf.DUMMYFUNCTION("IMPORTRANGE(""https://docs.google.com/spreadsheets/d/11923uPwbBZFjjGgGUA6NLw09EwE0CqkOc4q9oUmW1yo/edit?usp=sharing"",""สุโขทัย!J376"")"),30832)</f>
        <v>30832</v>
      </c>
      <c r="K481" s="201">
        <f t="shared" ca="1" si="117"/>
        <v>86.1204994273903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IFERROR(__xludf.DUMMYFUNCTION("IMPORTRANGE(""https://docs.google.com/spreadsheets/d/11923uPwbBZFjjGgGUA6NLw09EwE0CqkOc4q9oUmW1yo/edit?usp=sharing"",""สุโขทัย!I377"")"),4578)</f>
        <v>4578</v>
      </c>
      <c r="J482" s="420">
        <f ca="1">IFERROR(__xludf.DUMMYFUNCTION("IMPORTRANGE(""https://docs.google.com/spreadsheets/d/11923uPwbBZFjjGgGUA6NLw09EwE0CqkOc4q9oUmW1yo/edit?usp=sharing"",""สุโขทัย!J377"")"),4045)</f>
        <v>4045</v>
      </c>
      <c r="K482" s="201">
        <f t="shared" ca="1" si="117"/>
        <v>88.357361293141111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IFERROR(__xludf.DUMMYFUNCTION("IMPORTRANGE(""https://docs.google.com/spreadsheets/d/11923uPwbBZFjjGgGUA6NLw09EwE0CqkOc4q9oUmW1yo/edit?usp=sharing"",""สุโขทัย!I378"")"),0)</f>
        <v>0</v>
      </c>
      <c r="J483" s="188">
        <f ca="1">IFERROR(__xludf.DUMMYFUNCTION("IMPORTRANGE(""https://docs.google.com/spreadsheets/d/11923uPwbBZFjjGgGUA6NLw09EwE0CqkOc4q9oUmW1yo/edit?usp=sharing"",""สุโขทัย!J378"")"),30832)</f>
        <v>30832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IFERROR(__xludf.DUMMYFUNCTION("IMPORTRANGE(""https://docs.google.com/spreadsheets/d/11923uPwbBZFjjGgGUA6NLw09EwE0CqkOc4q9oUmW1yo/edit?usp=sharing"",""สุโขทัย!I379"")"),0)</f>
        <v>0</v>
      </c>
      <c r="J484" s="188">
        <f ca="1">IFERROR(__xludf.DUMMYFUNCTION("IMPORTRANGE(""https://docs.google.com/spreadsheets/d/11923uPwbBZFjjGgGUA6NLw09EwE0CqkOc4q9oUmW1yo/edit?usp=sharing"",""สุโขทัย!J379"")"),4045)</f>
        <v>4045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IFERROR(__xludf.DUMMYFUNCTION("IMPORTRANGE(""https://docs.google.com/spreadsheets/d/11923uPwbBZFjjGgGUA6NLw09EwE0CqkOc4q9oUmW1yo/edit?usp=sharing"",""สุโขทัย!I380"")"),0)</f>
        <v>0</v>
      </c>
      <c r="J485" s="188">
        <f ca="1">IFERROR(__xludf.DUMMYFUNCTION("IMPORTRANGE(""https://docs.google.com/spreadsheets/d/11923uPwbBZFjjGgGUA6NLw09EwE0CqkOc4q9oUmW1yo/edit?usp=sharing"",""สุโขทัย!J380"")"),0)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IFERROR(__xludf.DUMMYFUNCTION("IMPORTRANGE(""https://docs.google.com/spreadsheets/d/11923uPwbBZFjjGgGUA6NLw09EwE0CqkOc4q9oUmW1yo/edit?usp=sharing"",""สุโขทัย!I381"")"),0)</f>
        <v>0</v>
      </c>
      <c r="J486" s="188">
        <f ca="1">IFERROR(__xludf.DUMMYFUNCTION("IMPORTRANGE(""https://docs.google.com/spreadsheets/d/11923uPwbBZFjjGgGUA6NLw09EwE0CqkOc4q9oUmW1yo/edit?usp=sharing"",""สุโขทัย!J381"")"),0)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IFERROR(__xludf.DUMMYFUNCTION("IMPORTRANGE(""https://docs.google.com/spreadsheets/d/11923uPwbBZFjjGgGUA6NLw09EwE0CqkOc4q9oUmW1yo/edit?usp=sharing"",""สุโขทัย!I382"")"),0)</f>
        <v>0</v>
      </c>
      <c r="J487" s="420">
        <f ca="1">IFERROR(__xludf.DUMMYFUNCTION("IMPORTRANGE(""https://docs.google.com/spreadsheets/d/11923uPwbBZFjjGgGUA6NLw09EwE0CqkOc4q9oUmW1yo/edit?usp=sharing"",""สุโขทัย!J382"")"),0)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IFERROR(__xludf.DUMMYFUNCTION("IMPORTRANGE(""https://docs.google.com/spreadsheets/d/11923uPwbBZFjjGgGUA6NLw09EwE0CqkOc4q9oUmW1yo/edit?usp=sharing"",""สุโขทัย!I383"")"),0)</f>
        <v>0</v>
      </c>
      <c r="J488" s="420">
        <f ca="1">IFERROR(__xludf.DUMMYFUNCTION("IMPORTRANGE(""https://docs.google.com/spreadsheets/d/11923uPwbBZFjjGgGUA6NLw09EwE0CqkOc4q9oUmW1yo/edit?usp=sharing"",""สุโขทัย!J383"")"),0)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IFERROR(__xludf.DUMMYFUNCTION("IMPORTRANGE(""https://docs.google.com/spreadsheets/d/11923uPwbBZFjjGgGUA6NLw09EwE0CqkOc4q9oUmW1yo/edit?usp=sharing"",""สุโขทัย!I384"")"),0)</f>
        <v>0</v>
      </c>
      <c r="J489" s="188">
        <f ca="1">IFERROR(__xludf.DUMMYFUNCTION("IMPORTRANGE(""https://docs.google.com/spreadsheets/d/11923uPwbBZFjjGgGUA6NLw09EwE0CqkOc4q9oUmW1yo/edit?usp=sharing"",""สุโขทัย!J384"")"),0)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IFERROR(__xludf.DUMMYFUNCTION("IMPORTRANGE(""https://docs.google.com/spreadsheets/d/11923uPwbBZFjjGgGUA6NLw09EwE0CqkOc4q9oUmW1yo/edit?usp=sharing"",""สุโขทัย!I385"")"),0)</f>
        <v>0</v>
      </c>
      <c r="J490" s="188">
        <f ca="1">IFERROR(__xludf.DUMMYFUNCTION("IMPORTRANGE(""https://docs.google.com/spreadsheets/d/11923uPwbBZFjjGgGUA6NLw09EwE0CqkOc4q9oUmW1yo/edit?usp=sharing"",""สุโขทัย!J385"")"),0)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IFERROR(__xludf.DUMMYFUNCTION("IMPORTRANGE(""https://docs.google.com/spreadsheets/d/11923uPwbBZFjjGgGUA6NLw09EwE0CqkOc4q9oUmW1yo/edit?usp=sharing"",""สุโขทัย!I386"")"),0)</f>
        <v>0</v>
      </c>
      <c r="J491" s="188">
        <f ca="1">IFERROR(__xludf.DUMMYFUNCTION("IMPORTRANGE(""https://docs.google.com/spreadsheets/d/11923uPwbBZFjjGgGUA6NLw09EwE0CqkOc4q9oUmW1yo/edit?usp=sharing"",""สุโขทัย!J386"")"),0)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IFERROR(__xludf.DUMMYFUNCTION("IMPORTRANGE(""https://docs.google.com/spreadsheets/d/11923uPwbBZFjjGgGUA6NLw09EwE0CqkOc4q9oUmW1yo/edit?usp=sharing"",""สุโขทัย!I387"")"),0)</f>
        <v>0</v>
      </c>
      <c r="J492" s="188">
        <f ca="1">IFERROR(__xludf.DUMMYFUNCTION("IMPORTRANGE(""https://docs.google.com/spreadsheets/d/11923uPwbBZFjjGgGUA6NLw09EwE0CqkOc4q9oUmW1yo/edit?usp=sharing"",""สุโขทัย!J387"")"),0)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IFERROR(__xludf.DUMMYFUNCTION("IMPORTRANGE(""https://docs.google.com/spreadsheets/d/11923uPwbBZFjjGgGUA6NLw09EwE0CqkOc4q9oUmW1yo/edit?usp=sharing"",""สุโขทัย!I388"")"),0)</f>
        <v>0</v>
      </c>
      <c r="J493" s="188">
        <f ca="1">IFERROR(__xludf.DUMMYFUNCTION("IMPORTRANGE(""https://docs.google.com/spreadsheets/d/11923uPwbBZFjjGgGUA6NLw09EwE0CqkOc4q9oUmW1yo/edit?usp=sharing"",""สุโขทัย!J388"")"),0)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IFERROR(__xludf.DUMMYFUNCTION("IMPORTRANGE(""https://docs.google.com/spreadsheets/d/11923uPwbBZFjjGgGUA6NLw09EwE0CqkOc4q9oUmW1yo/edit?usp=sharing"",""สุโขทัย!I389"")"),0)</f>
        <v>0</v>
      </c>
      <c r="J494" s="436">
        <f ca="1">IFERROR(__xludf.DUMMYFUNCTION("IMPORTRANGE(""https://docs.google.com/spreadsheets/d/11923uPwbBZFjjGgGUA6NLw09EwE0CqkOc4q9oUmW1yo/edit?usp=sharing"",""สุโขทัย!J389"")"),0)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IFERROR(__xludf.DUMMYFUNCTION("IMPORTRANGE(""https://docs.google.com/spreadsheets/d/11923uPwbBZFjjGgGUA6NLw09EwE0CqkOc4q9oUmW1yo/edit?usp=sharing"",""สุโขทัย!I390"")"),0)</f>
        <v>0</v>
      </c>
      <c r="J495" s="436">
        <f ca="1">IFERROR(__xludf.DUMMYFUNCTION("IMPORTRANGE(""https://docs.google.com/spreadsheets/d/11923uPwbBZFjjGgGUA6NLw09EwE0CqkOc4q9oUmW1yo/edit?usp=sharing"",""สุโขทัย!J390"")"),0)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IFERROR(__xludf.DUMMYFUNCTION("IMPORTRANGE(""https://docs.google.com/spreadsheets/d/11923uPwbBZFjjGgGUA6NLw09EwE0CqkOc4q9oUmW1yo/edit?usp=sharing"",""สุโขทัย!I391"")"),0)</f>
        <v>0</v>
      </c>
      <c r="J496" s="436">
        <f ca="1">IFERROR(__xludf.DUMMYFUNCTION("IMPORTRANGE(""https://docs.google.com/spreadsheets/d/11923uPwbBZFjjGgGUA6NLw09EwE0CqkOc4q9oUmW1yo/edit?usp=sharing"",""สุโขทัย!J391"")"),0)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IFERROR(__xludf.DUMMYFUNCTION("IMPORTRANGE(""https://docs.google.com/spreadsheets/d/11923uPwbBZFjjGgGUA6NLw09EwE0CqkOc4q9oUmW1yo/edit?usp=sharing"",""สุโขทัย!I392"")"),1851)</f>
        <v>1851</v>
      </c>
      <c r="J497" s="443">
        <f ca="1">IFERROR(__xludf.DUMMYFUNCTION("IMPORTRANGE(""https://docs.google.com/spreadsheets/d/11923uPwbBZFjjGgGUA6NLw09EwE0CqkOc4q9oUmW1yo/edit?usp=sharing"",""สุโขทัย!J392"")"),1328)</f>
        <v>1328</v>
      </c>
      <c r="K497" s="444">
        <f t="shared" ca="1" si="117"/>
        <v>71.745002701242569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IFERROR(__xludf.DUMMYFUNCTION("IMPORTRANGE(""https://docs.google.com/spreadsheets/d/11923uPwbBZFjjGgGUA6NLw09EwE0CqkOc4q9oUmW1yo/edit?usp=sharing"",""สุโขทัย!I393"")"),1851)</f>
        <v>1851</v>
      </c>
      <c r="J498" s="420">
        <f ca="1">IFERROR(__xludf.DUMMYFUNCTION("IMPORTRANGE(""https://docs.google.com/spreadsheets/d/11923uPwbBZFjjGgGUA6NLw09EwE0CqkOc4q9oUmW1yo/edit?usp=sharing"",""สุโขทัย!J393"")"),1328)</f>
        <v>1328</v>
      </c>
      <c r="K498" s="163">
        <f t="shared" ca="1" si="117"/>
        <v>71.745002701242569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IFERROR(__xludf.DUMMYFUNCTION("IMPORTRANGE(""https://docs.google.com/spreadsheets/d/11923uPwbBZFjjGgGUA6NLw09EwE0CqkOc4q9oUmW1yo/edit?usp=sharing"",""สุโขทัย!I394"")"),138)</f>
        <v>138</v>
      </c>
      <c r="J499" s="420">
        <f ca="1">IFERROR(__xludf.DUMMYFUNCTION("IMPORTRANGE(""https://docs.google.com/spreadsheets/d/11923uPwbBZFjjGgGUA6NLw09EwE0CqkOc4q9oUmW1yo/edit?usp=sharing"",""สุโขทัย!J394"")"),98)</f>
        <v>98</v>
      </c>
      <c r="K499" s="201">
        <f t="shared" ca="1" si="117"/>
        <v>71.014492753623188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IFERROR(__xludf.DUMMYFUNCTION("IMPORTRANGE(""https://docs.google.com/spreadsheets/d/11923uPwbBZFjjGgGUA6NLw09EwE0CqkOc4q9oUmW1yo/edit?usp=sharing"",""สุโขทัย!I395"")"),0)</f>
        <v>0</v>
      </c>
      <c r="J500" s="162">
        <f ca="1">IFERROR(__xludf.DUMMYFUNCTION("IMPORTRANGE(""https://docs.google.com/spreadsheets/d/11923uPwbBZFjjGgGUA6NLw09EwE0CqkOc4q9oUmW1yo/edit?usp=sharing"",""สุโขทัย!J395"")"),1190)</f>
        <v>1190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IFERROR(__xludf.DUMMYFUNCTION("IMPORTRANGE(""https://docs.google.com/spreadsheets/d/11923uPwbBZFjjGgGUA6NLw09EwE0CqkOc4q9oUmW1yo/edit?usp=sharing"",""สุโขทัย!I396"")"),0)</f>
        <v>0</v>
      </c>
      <c r="J501" s="162">
        <f ca="1">IFERROR(__xludf.DUMMYFUNCTION("IMPORTRANGE(""https://docs.google.com/spreadsheets/d/11923uPwbBZFjjGgGUA6NLw09EwE0CqkOc4q9oUmW1yo/edit?usp=sharing"",""สุโขทัย!J396"")"),89)</f>
        <v>89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IFERROR(__xludf.DUMMYFUNCTION("IMPORTRANGE(""https://docs.google.com/spreadsheets/d/11923uPwbBZFjjGgGUA6NLw09EwE0CqkOc4q9oUmW1yo/edit?usp=sharing"",""สุโขทัย!I397"")"),0)</f>
        <v>0</v>
      </c>
      <c r="J502" s="188">
        <f ca="1">IFERROR(__xludf.DUMMYFUNCTION("IMPORTRANGE(""https://docs.google.com/spreadsheets/d/11923uPwbBZFjjGgGUA6NLw09EwE0CqkOc4q9oUmW1yo/edit?usp=sharing"",""สุโขทัย!J397"")"),1145)</f>
        <v>1145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IFERROR(__xludf.DUMMYFUNCTION("IMPORTRANGE(""https://docs.google.com/spreadsheets/d/11923uPwbBZFjjGgGUA6NLw09EwE0CqkOc4q9oUmW1yo/edit?usp=sharing"",""สุโขทัย!I398"")"),0)</f>
        <v>0</v>
      </c>
      <c r="J503" s="197">
        <f ca="1">IFERROR(__xludf.DUMMYFUNCTION("IMPORTRANGE(""https://docs.google.com/spreadsheets/d/11923uPwbBZFjjGgGUA6NLw09EwE0CqkOc4q9oUmW1yo/edit?usp=sharing"",""สุโขทัย!J398"")"),84)</f>
        <v>84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IFERROR(__xludf.DUMMYFUNCTION("IMPORTRANGE(""https://docs.google.com/spreadsheets/d/11923uPwbBZFjjGgGUA6NLw09EwE0CqkOc4q9oUmW1yo/edit?usp=sharing"",""สุโขทัย!I399"")"),0)</f>
        <v>0</v>
      </c>
      <c r="J504" s="188">
        <f ca="1">IFERROR(__xludf.DUMMYFUNCTION("IMPORTRANGE(""https://docs.google.com/spreadsheets/d/11923uPwbBZFjjGgGUA6NLw09EwE0CqkOc4q9oUmW1yo/edit?usp=sharing"",""สุโขทัย!J399"")"),45)</f>
        <v>45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IFERROR(__xludf.DUMMYFUNCTION("IMPORTRANGE(""https://docs.google.com/spreadsheets/d/11923uPwbBZFjjGgGUA6NLw09EwE0CqkOc4q9oUmW1yo/edit?usp=sharing"",""สุโขทัย!I400"")"),0)</f>
        <v>0</v>
      </c>
      <c r="J505" s="197">
        <f ca="1">IFERROR(__xludf.DUMMYFUNCTION("IMPORTRANGE(""https://docs.google.com/spreadsheets/d/11923uPwbBZFjjGgGUA6NLw09EwE0CqkOc4q9oUmW1yo/edit?usp=sharing"",""สุโขทัย!J400"")"),5)</f>
        <v>5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IFERROR(__xludf.DUMMYFUNCTION("IMPORTRANGE(""https://docs.google.com/spreadsheets/d/11923uPwbBZFjjGgGUA6NLw09EwE0CqkOc4q9oUmW1yo/edit?usp=sharing"",""สุโขทัย!I401"")"),0)</f>
        <v>0</v>
      </c>
      <c r="J506" s="188">
        <f ca="1">IFERROR(__xludf.DUMMYFUNCTION("IMPORTRANGE(""https://docs.google.com/spreadsheets/d/11923uPwbBZFjjGgGUA6NLw09EwE0CqkOc4q9oUmW1yo/edit?usp=sharing"",""สุโขทัย!J401"")"),0)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IFERROR(__xludf.DUMMYFUNCTION("IMPORTRANGE(""https://docs.google.com/spreadsheets/d/11923uPwbBZFjjGgGUA6NLw09EwE0CqkOc4q9oUmW1yo/edit?usp=sharing"",""สุโขทัย!I402"")"),0)</f>
        <v>0</v>
      </c>
      <c r="J507" s="197">
        <f ca="1">IFERROR(__xludf.DUMMYFUNCTION("IMPORTRANGE(""https://docs.google.com/spreadsheets/d/11923uPwbBZFjjGgGUA6NLw09EwE0CqkOc4q9oUmW1yo/edit?usp=sharing"",""สุโขทัย!J402"")"),0)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IFERROR(__xludf.DUMMYFUNCTION("IMPORTRANGE(""https://docs.google.com/spreadsheets/d/11923uPwbBZFjjGgGUA6NLw09EwE0CqkOc4q9oUmW1yo/edit?usp=sharing"",""สุโขทัย!I403"")"),0)</f>
        <v>0</v>
      </c>
      <c r="J508" s="162">
        <f ca="1">IFERROR(__xludf.DUMMYFUNCTION("IMPORTRANGE(""https://docs.google.com/spreadsheets/d/11923uPwbBZFjjGgGUA6NLw09EwE0CqkOc4q9oUmW1yo/edit?usp=sharing"",""สุโขทัย!J403"")"),138)</f>
        <v>138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IFERROR(__xludf.DUMMYFUNCTION("IMPORTRANGE(""https://docs.google.com/spreadsheets/d/11923uPwbBZFjjGgGUA6NLw09EwE0CqkOc4q9oUmW1yo/edit?usp=sharing"",""สุโขทัย!I404"")"),0)</f>
        <v>0</v>
      </c>
      <c r="J509" s="162">
        <f ca="1">IFERROR(__xludf.DUMMYFUNCTION("IMPORTRANGE(""https://docs.google.com/spreadsheets/d/11923uPwbBZFjjGgGUA6NLw09EwE0CqkOc4q9oUmW1yo/edit?usp=sharing"",""สุโขทัย!J404"")"),9)</f>
        <v>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IFERROR(__xludf.DUMMYFUNCTION("IMPORTRANGE(""https://docs.google.com/spreadsheets/d/11923uPwbBZFjjGgGUA6NLw09EwE0CqkOc4q9oUmW1yo/edit?usp=sharing"",""สุโขทัย!I405"")"),0)</f>
        <v>0</v>
      </c>
      <c r="J510" s="197">
        <f ca="1">IFERROR(__xludf.DUMMYFUNCTION("IMPORTRANGE(""https://docs.google.com/spreadsheets/d/11923uPwbBZFjjGgGUA6NLw09EwE0CqkOc4q9oUmW1yo/edit?usp=sharing"",""สุโขทัย!J405"")"),138)</f>
        <v>138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IFERROR(__xludf.DUMMYFUNCTION("IMPORTRANGE(""https://docs.google.com/spreadsheets/d/11923uPwbBZFjjGgGUA6NLw09EwE0CqkOc4q9oUmW1yo/edit?usp=sharing"",""สุโขทัย!I406"")"),0)</f>
        <v>0</v>
      </c>
      <c r="J511" s="197">
        <f ca="1">IFERROR(__xludf.DUMMYFUNCTION("IMPORTRANGE(""https://docs.google.com/spreadsheets/d/11923uPwbBZFjjGgGUA6NLw09EwE0CqkOc4q9oUmW1yo/edit?usp=sharing"",""สุโขทัย!J406"")"),9)</f>
        <v>9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IFERROR(__xludf.DUMMYFUNCTION("IMPORTRANGE(""https://docs.google.com/spreadsheets/d/11923uPwbBZFjjGgGUA6NLw09EwE0CqkOc4q9oUmW1yo/edit?usp=sharing"",""สุโขทัย!I407"")"),0)</f>
        <v>0</v>
      </c>
      <c r="J512" s="197">
        <f ca="1">IFERROR(__xludf.DUMMYFUNCTION("IMPORTRANGE(""https://docs.google.com/spreadsheets/d/11923uPwbBZFjjGgGUA6NLw09EwE0CqkOc4q9oUmW1yo/edit?usp=sharing"",""สุโขทัย!J407"")"),0)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IFERROR(__xludf.DUMMYFUNCTION("IMPORTRANGE(""https://docs.google.com/spreadsheets/d/11923uPwbBZFjjGgGUA6NLw09EwE0CqkOc4q9oUmW1yo/edit?usp=sharing"",""สุโขทัย!I408"")"),0)</f>
        <v>0</v>
      </c>
      <c r="J513" s="197">
        <f ca="1">IFERROR(__xludf.DUMMYFUNCTION("IMPORTRANGE(""https://docs.google.com/spreadsheets/d/11923uPwbBZFjjGgGUA6NLw09EwE0CqkOc4q9oUmW1yo/edit?usp=sharing"",""สุโขทัย!J408"")"),0)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IFERROR(__xludf.DUMMYFUNCTION("IMPORTRANGE(""https://docs.google.com/spreadsheets/d/11923uPwbBZFjjGgGUA6NLw09EwE0CqkOc4q9oUmW1yo/edit?usp=sharing"",""สุโขทัย!I409"")"),0)</f>
        <v>0</v>
      </c>
      <c r="J514" s="197">
        <f ca="1">IFERROR(__xludf.DUMMYFUNCTION("IMPORTRANGE(""https://docs.google.com/spreadsheets/d/11923uPwbBZFjjGgGUA6NLw09EwE0CqkOc4q9oUmW1yo/edit?usp=sharing"",""สุโขทัย!J409"")"),0)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IFERROR(__xludf.DUMMYFUNCTION("IMPORTRANGE(""https://docs.google.com/spreadsheets/d/11923uPwbBZFjjGgGUA6NLw09EwE0CqkOc4q9oUmW1yo/edit?usp=sharing"",""สุโขทัย!I410"")"),0)</f>
        <v>0</v>
      </c>
      <c r="J515" s="197">
        <f ca="1">IFERROR(__xludf.DUMMYFUNCTION("IMPORTRANGE(""https://docs.google.com/spreadsheets/d/11923uPwbBZFjjGgGUA6NLw09EwE0CqkOc4q9oUmW1yo/edit?usp=sharing"",""สุโขทัย!J410"")"),0)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IFERROR(__xludf.DUMMYFUNCTION("IMPORTRANGE(""https://docs.google.com/spreadsheets/d/11923uPwbBZFjjGgGUA6NLw09EwE0CqkOc4q9oUmW1yo/edit?usp=sharing"",""สุโขทัย!I411"")"),0)</f>
        <v>0</v>
      </c>
      <c r="J516" s="267">
        <f ca="1">IFERROR(__xludf.DUMMYFUNCTION("IMPORTRANGE(""https://docs.google.com/spreadsheets/d/11923uPwbBZFjjGgGUA6NLw09EwE0CqkOc4q9oUmW1yo/edit?usp=sharing"",""สุโขทัย!J411"")"),0)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IFERROR(__xludf.DUMMYFUNCTION("IMPORTRANGE(""https://docs.google.com/spreadsheets/d/11923uPwbBZFjjGgGUA6NLw09EwE0CqkOc4q9oUmW1yo/edit?usp=sharing"",""สุโขทัย!I412"")"),0)</f>
        <v>0</v>
      </c>
      <c r="J517" s="284">
        <f ca="1">IFERROR(__xludf.DUMMYFUNCTION("IMPORTRANGE(""https://docs.google.com/spreadsheets/d/11923uPwbBZFjjGgGUA6NLw09EwE0CqkOc4q9oUmW1yo/edit?usp=sharing"",""สุโขทัย!J412"")"),0)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IFERROR(__xludf.DUMMYFUNCTION("IMPORTRANGE(""https://docs.google.com/spreadsheets/d/11923uPwbBZFjjGgGUA6NLw09EwE0CqkOc4q9oUmW1yo/edit?usp=sharing"",""สุโขทัย!I413"")"),0)</f>
        <v>0</v>
      </c>
      <c r="J518" s="284">
        <f ca="1">IFERROR(__xludf.DUMMYFUNCTION("IMPORTRANGE(""https://docs.google.com/spreadsheets/d/11923uPwbBZFjjGgGUA6NLw09EwE0CqkOc4q9oUmW1yo/edit?usp=sharing"",""สุโขทัย!J413"")"),0)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IFERROR(__xludf.DUMMYFUNCTION("IMPORTRANGE(""https://docs.google.com/spreadsheets/d/11923uPwbBZFjjGgGUA6NLw09EwE0CqkOc4q9oUmW1yo/edit?usp=sharing"",""สุโขทัย!I414"")"),0)</f>
        <v>0</v>
      </c>
      <c r="J519" s="187">
        <f ca="1">IFERROR(__xludf.DUMMYFUNCTION("IMPORTRANGE(""https://docs.google.com/spreadsheets/d/11923uPwbBZFjjGgGUA6NLw09EwE0CqkOc4q9oUmW1yo/edit?usp=sharing"",""สุโขทัย!J414"")"),0)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IFERROR(__xludf.DUMMYFUNCTION("IMPORTRANGE(""https://docs.google.com/spreadsheets/d/11923uPwbBZFjjGgGUA6NLw09EwE0CqkOc4q9oUmW1yo/edit?usp=sharing"",""สุโขทัย!I415"")"),0)</f>
        <v>0</v>
      </c>
      <c r="J520" s="187">
        <f ca="1">IFERROR(__xludf.DUMMYFUNCTION("IMPORTRANGE(""https://docs.google.com/spreadsheets/d/11923uPwbBZFjjGgGUA6NLw09EwE0CqkOc4q9oUmW1yo/edit?usp=sharing"",""สุโขทัย!J415"")"),0)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IFERROR(__xludf.DUMMYFUNCTION("IMPORTRANGE(""https://docs.google.com/spreadsheets/d/11923uPwbBZFjjGgGUA6NLw09EwE0CqkOc4q9oUmW1yo/edit?usp=sharing"",""สุโขทัย!I416"")"),0)</f>
        <v>0</v>
      </c>
      <c r="J521" s="187">
        <f ca="1">IFERROR(__xludf.DUMMYFUNCTION("IMPORTRANGE(""https://docs.google.com/spreadsheets/d/11923uPwbBZFjjGgGUA6NLw09EwE0CqkOc4q9oUmW1yo/edit?usp=sharing"",""สุโขทัย!J416"")"),0)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IFERROR(__xludf.DUMMYFUNCTION("IMPORTRANGE(""https://docs.google.com/spreadsheets/d/11923uPwbBZFjjGgGUA6NLw09EwE0CqkOc4q9oUmW1yo/edit?usp=sharing"",""สุโขทัย!I417"")"),0)</f>
        <v>0</v>
      </c>
      <c r="J522" s="187">
        <f ca="1">IFERROR(__xludf.DUMMYFUNCTION("IMPORTRANGE(""https://docs.google.com/spreadsheets/d/11923uPwbBZFjjGgGUA6NLw09EwE0CqkOc4q9oUmW1yo/edit?usp=sharing"",""สุโขทัย!J417"")"),0)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IFERROR(__xludf.DUMMYFUNCTION("IMPORTRANGE(""https://docs.google.com/spreadsheets/d/11923uPwbBZFjjGgGUA6NLw09EwE0CqkOc4q9oUmW1yo/edit?usp=sharing"",""สุโขทัย!I418"")"),0)</f>
        <v>0</v>
      </c>
      <c r="J523" s="187">
        <f ca="1">IFERROR(__xludf.DUMMYFUNCTION("IMPORTRANGE(""https://docs.google.com/spreadsheets/d/11923uPwbBZFjjGgGUA6NLw09EwE0CqkOc4q9oUmW1yo/edit?usp=sharing"",""สุโขทัย!J418"")"),12)</f>
        <v>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IFERROR(__xludf.DUMMYFUNCTION("IMPORTRANGE(""https://docs.google.com/spreadsheets/d/11923uPwbBZFjjGgGUA6NLw09EwE0CqkOc4q9oUmW1yo/edit?usp=sharing"",""สุโขทัย!I419"")"),0)</f>
        <v>0</v>
      </c>
      <c r="J524" s="187">
        <f ca="1">IFERROR(__xludf.DUMMYFUNCTION("IMPORTRANGE(""https://docs.google.com/spreadsheets/d/11923uPwbBZFjjGgGUA6NLw09EwE0CqkOc4q9oUmW1yo/edit?usp=sharing"",""สุโขทัย!J419"")"),2)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IFERROR(__xludf.DUMMYFUNCTION("IMPORTRANGE(""https://docs.google.com/spreadsheets/d/11923uPwbBZFjjGgGUA6NLw09EwE0CqkOc4q9oUmW1yo/edit?usp=sharing"",""สุโขทัย!I420"")"),12)</f>
        <v>12</v>
      </c>
      <c r="J525" s="284">
        <f ca="1">IFERROR(__xludf.DUMMYFUNCTION("IMPORTRANGE(""https://docs.google.com/spreadsheets/d/11923uPwbBZFjjGgGUA6NLw09EwE0CqkOc4q9oUmW1yo/edit?usp=sharing"",""สุโขทัย!J420"")"),12)</f>
        <v>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IFERROR(__xludf.DUMMYFUNCTION("IMPORTRANGE(""https://docs.google.com/spreadsheets/d/11923uPwbBZFjjGgGUA6NLw09EwE0CqkOc4q9oUmW1yo/edit?usp=sharing"",""สุโขทัย!I421"")"),2)</f>
        <v>2</v>
      </c>
      <c r="J526" s="284">
        <f ca="1">IFERROR(__xludf.DUMMYFUNCTION("IMPORTRANGE(""https://docs.google.com/spreadsheets/d/11923uPwbBZFjjGgGUA6NLw09EwE0CqkOc4q9oUmW1yo/edit?usp=sharing"",""สุโขทัย!J421"")"),2)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IFERROR(__xludf.DUMMYFUNCTION("IMPORTRANGE(""https://docs.google.com/spreadsheets/d/11923uPwbBZFjjGgGUA6NLw09EwE0CqkOc4q9oUmW1yo/edit?usp=sharing"",""สุโขทัย!I422"")"),0)</f>
        <v>0</v>
      </c>
      <c r="J527" s="197">
        <f ca="1">IFERROR(__xludf.DUMMYFUNCTION("IMPORTRANGE(""https://docs.google.com/spreadsheets/d/11923uPwbBZFjjGgGUA6NLw09EwE0CqkOc4q9oUmW1yo/edit?usp=sharing"",""สุโขทัย!J422"")"),0)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IFERROR(__xludf.DUMMYFUNCTION("IMPORTRANGE(""https://docs.google.com/spreadsheets/d/11923uPwbBZFjjGgGUA6NLw09EwE0CqkOc4q9oUmW1yo/edit?usp=sharing"",""สุโขทัย!I423"")"),0)</f>
        <v>0</v>
      </c>
      <c r="J528" s="197">
        <f ca="1">IFERROR(__xludf.DUMMYFUNCTION("IMPORTRANGE(""https://docs.google.com/spreadsheets/d/11923uPwbBZFjjGgGUA6NLw09EwE0CqkOc4q9oUmW1yo/edit?usp=sharing"",""สุโขทัย!J423"")"),0)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IFERROR(__xludf.DUMMYFUNCTION("IMPORTRANGE(""https://docs.google.com/spreadsheets/d/11923uPwbBZFjjGgGUA6NLw09EwE0CqkOc4q9oUmW1yo/edit?usp=sharing"",""สุโขทัย!I424"")"),0)</f>
        <v>0</v>
      </c>
      <c r="J529" s="197">
        <f ca="1">IFERROR(__xludf.DUMMYFUNCTION("IMPORTRANGE(""https://docs.google.com/spreadsheets/d/11923uPwbBZFjjGgGUA6NLw09EwE0CqkOc4q9oUmW1yo/edit?usp=sharing"",""สุโขทัย!J424"")"),12)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IFERROR(__xludf.DUMMYFUNCTION("IMPORTRANGE(""https://docs.google.com/spreadsheets/d/11923uPwbBZFjjGgGUA6NLw09EwE0CqkOc4q9oUmW1yo/edit?usp=sharing"",""สุโขทัย!I425"")"),0)</f>
        <v>0</v>
      </c>
      <c r="J530" s="197">
        <f ca="1">IFERROR(__xludf.DUMMYFUNCTION("IMPORTRANGE(""https://docs.google.com/spreadsheets/d/11923uPwbBZFjjGgGUA6NLw09EwE0CqkOc4q9oUmW1yo/edit?usp=sharing"",""สุโขทัย!J425"")"),2)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IFERROR(__xludf.DUMMYFUNCTION("IMPORTRANGE(""https://docs.google.com/spreadsheets/d/11923uPwbBZFjjGgGUA6NLw09EwE0CqkOc4q9oUmW1yo/edit?usp=sharing"",""สุโขทัย!I426"")"),0)</f>
        <v>0</v>
      </c>
      <c r="J531" s="197">
        <f ca="1">IFERROR(__xludf.DUMMYFUNCTION("IMPORTRANGE(""https://docs.google.com/spreadsheets/d/11923uPwbBZFjjGgGUA6NLw09EwE0CqkOc4q9oUmW1yo/edit?usp=sharing"",""สุโขทัย!J426"")"),0)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IFERROR(__xludf.DUMMYFUNCTION("IMPORTRANGE(""https://docs.google.com/spreadsheets/d/11923uPwbBZFjjGgGUA6NLw09EwE0CqkOc4q9oUmW1yo/edit?usp=sharing"",""สุโขทัย!I427"")"),0)</f>
        <v>0</v>
      </c>
      <c r="J532" s="466">
        <f ca="1">IFERROR(__xludf.DUMMYFUNCTION("IMPORTRANGE(""https://docs.google.com/spreadsheets/d/11923uPwbBZFjjGgGUA6NLw09EwE0CqkOc4q9oUmW1yo/edit?usp=sharing"",""สุโขทัย!J427"")"),0)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IFERROR(__xludf.DUMMYFUNCTION("IMPORTRANGE(""https://docs.google.com/spreadsheets/d/11923uPwbBZFjjGgGUA6NLw09EwE0CqkOc4q9oUmW1yo/edit?usp=sharing"",""สุโขทัย!I428"")"),22)</f>
        <v>22</v>
      </c>
      <c r="J533" s="409">
        <f ca="1">IFERROR(__xludf.DUMMYFUNCTION("IMPORTRANGE(""https://docs.google.com/spreadsheets/d/11923uPwbBZFjjGgGUA6NLw09EwE0CqkOc4q9oUmW1yo/edit?usp=sharing"",""สุโขทัย!J428"")"),22)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IFERROR(__xludf.DUMMYFUNCTION("IMPORTRANGE(""https://docs.google.com/spreadsheets/d/11923uPwbBZFjjGgGUA6NLw09EwE0CqkOc4q9oUmW1yo/edit?usp=sharing"",""สุโขทัย!L428"")"),34340)</f>
        <v>34340</v>
      </c>
      <c r="M533" s="411"/>
      <c r="N533" s="411">
        <f ca="1">IFERROR(__xludf.DUMMYFUNCTION("IMPORTRANGE(""https://docs.google.com/spreadsheets/d/11923uPwbBZFjjGgGUA6NLw09EwE0CqkOc4q9oUmW1yo/edit?usp=sharing"",""สุโขทัย!M428"")"),18740)</f>
        <v>18740</v>
      </c>
      <c r="O533" s="411">
        <f t="shared" ref="O533:O537" ca="1" si="118">+IF(L533&gt;0,N533*100/L533,0)</f>
        <v>54.571927781013393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IFERROR(__xludf.DUMMYFUNCTION("IMPORTRANGE(""https://docs.google.com/spreadsheets/d/11923uPwbBZFjjGgGUA6NLw09EwE0CqkOc4q9oUmW1yo/edit?usp=sharing"",""สุโขทัย!L429"")"),0)</f>
        <v>0</v>
      </c>
      <c r="M534" s="164"/>
      <c r="N534" s="168">
        <f ca="1">IFERROR(__xludf.DUMMYFUNCTION("IMPORTRANGE(""https://docs.google.com/spreadsheets/d/11923uPwbBZFjjGgGUA6NLw09EwE0CqkOc4q9oUmW1yo/edit?usp=sharing"",""สุโขทัย!M429"")"),0)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IFERROR(__xludf.DUMMYFUNCTION("IMPORTRANGE(""https://docs.google.com/spreadsheets/d/11923uPwbBZFjjGgGUA6NLw09EwE0CqkOc4q9oUmW1yo/edit?usp=sharing"",""สุโขทัย!L430"")"),34340)</f>
        <v>34340</v>
      </c>
      <c r="M535" s="165"/>
      <c r="N535" s="168">
        <f ca="1">IFERROR(__xludf.DUMMYFUNCTION("IMPORTRANGE(""https://docs.google.com/spreadsheets/d/11923uPwbBZFjjGgGUA6NLw09EwE0CqkOc4q9oUmW1yo/edit?usp=sharing"",""สุโขทัย!M430"")"),18740)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IFERROR(__xludf.DUMMYFUNCTION("IMPORTRANGE(""https://docs.google.com/spreadsheets/d/11923uPwbBZFjjGgGUA6NLw09EwE0CqkOc4q9oUmW1yo/edit?usp=sharing"",""สุโขทัย!L431"")"),0)</f>
        <v>0</v>
      </c>
      <c r="M536" s="168"/>
      <c r="N536" s="168">
        <f ca="1">IFERROR(__xludf.DUMMYFUNCTION("IMPORTRANGE(""https://docs.google.com/spreadsheets/d/11923uPwbBZFjjGgGUA6NLw09EwE0CqkOc4q9oUmW1yo/edit?usp=sharing"",""สุโขทัย!M431"")"),0)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IFERROR(__xludf.DUMMYFUNCTION("IMPORTRANGE(""https://docs.google.com/spreadsheets/d/11923uPwbBZFjjGgGUA6NLw09EwE0CqkOc4q9oUmW1yo/edit?usp=sharing"",""สุโขทัย!L432"")"),34340)</f>
        <v>34340</v>
      </c>
      <c r="M537" s="168"/>
      <c r="N537" s="168">
        <f ca="1">IFERROR(__xludf.DUMMYFUNCTION("IMPORTRANGE(""https://docs.google.com/spreadsheets/d/11923uPwbBZFjjGgGUA6NLw09EwE0CqkOc4q9oUmW1yo/edit?usp=sharing"",""สุโขทัย!M432"")"),18740)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IFERROR(__xludf.DUMMYFUNCTION("IMPORTRANGE(""https://docs.google.com/spreadsheets/d/11923uPwbBZFjjGgGUA6NLw09EwE0CqkOc4q9oUmW1yo/edit?usp=sharing"",""สุโขทัย!M433"")"),18740)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IFERROR(__xludf.DUMMYFUNCTION("IMPORTRANGE(""https://docs.google.com/spreadsheets/d/11923uPwbBZFjjGgGUA6NLw09EwE0CqkOc4q9oUmW1yo/edit?usp=sharing"",""สุโขทัย!M434"")"),0)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IFERROR(__xludf.DUMMYFUNCTION("IMPORTRANGE(""https://docs.google.com/spreadsheets/d/11923uPwbBZFjjGgGUA6NLw09EwE0CqkOc4q9oUmW1yo/edit?usp=sharing"",""สุโขทัย!M435"")"),0)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IFERROR(__xludf.DUMMYFUNCTION("IMPORTRANGE(""https://docs.google.com/spreadsheets/d/11923uPwbBZFjjGgGUA6NLw09EwE0CqkOc4q9oUmW1yo/edit?usp=sharing"",""สุโขทัย!M436"")"),0)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IFERROR(__xludf.DUMMYFUNCTION("IMPORTRANGE(""https://docs.google.com/spreadsheets/d/11923uPwbBZFjjGgGUA6NLw09EwE0CqkOc4q9oUmW1yo/edit?usp=sharing"",""สุโขทัย!J438"")"),0)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IFERROR(__xludf.DUMMYFUNCTION("IMPORTRANGE(""https://docs.google.com/spreadsheets/d/11923uPwbBZFjjGgGUA6NLw09EwE0CqkOc4q9oUmW1yo/edit?usp=sharing"",""สุโขทัย!J439"")"),1)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IFERROR(__xludf.DUMMYFUNCTION("IMPORTRANGE(""https://docs.google.com/spreadsheets/d/11923uPwbBZFjjGgGUA6NLw09EwE0CqkOc4q9oUmW1yo/edit?usp=sharing"",""สุโขทัย!J440"")"),1)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IFERROR(__xludf.DUMMYFUNCTION("IMPORTRANGE(""https://docs.google.com/spreadsheets/d/11923uPwbBZFjjGgGUA6NLw09EwE0CqkOc4q9oUmW1yo/edit?usp=sharing"",""สุโขทัย!J441"")"),1)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IFERROR(__xludf.DUMMYFUNCTION("IMPORTRANGE(""https://docs.google.com/spreadsheets/d/11923uPwbBZFjjGgGUA6NLw09EwE0CqkOc4q9oUmW1yo/edit?usp=sharing"",""สุโขทัย!I442"")"),22)</f>
        <v>22</v>
      </c>
      <c r="J547" s="188">
        <f ca="1">IFERROR(__xludf.DUMMYFUNCTION("IMPORTRANGE(""https://docs.google.com/spreadsheets/d/11923uPwbBZFjjGgGUA6NLw09EwE0CqkOc4q9oUmW1yo/edit?usp=sharing"",""สุโขทัย!J442"")"),22)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IFERROR(__xludf.DUMMYFUNCTION("IMPORTRANGE(""https://docs.google.com/spreadsheets/d/11923uPwbBZFjjGgGUA6NLw09EwE0CqkOc4q9oUmW1yo/edit?usp=sharing"",""สุโขทัย!J166"")"),0)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IFERROR(__xludf.DUMMYFUNCTION("IMPORTRANGE(""https://docs.google.com/spreadsheets/d/11923uPwbBZFjjGgGUA6NLw09EwE0CqkOc4q9oUmW1yo/edit?usp=sharing"",""สุโขทัย!J444"")"),0)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IFERROR(__xludf.DUMMYFUNCTION("IMPORTRANGE(""https://docs.google.com/spreadsheets/d/11923uPwbBZFjjGgGUA6NLw09EwE0CqkOc4q9oUmW1yo/edit?usp=sharing"",""สุโขทัย!J445"")"),0)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IFERROR(__xludf.DUMMYFUNCTION("IMPORTRANGE(""https://docs.google.com/spreadsheets/d/11923uPwbBZFjjGgGUA6NLw09EwE0CqkOc4q9oUmW1yo/edit?usp=sharing"",""สุโขทัย!I446"")"),0)</f>
        <v>0</v>
      </c>
      <c r="J551" s="409">
        <f ca="1">IFERROR(__xludf.DUMMYFUNCTION("IMPORTRANGE(""https://docs.google.com/spreadsheets/d/11923uPwbBZFjjGgGUA6NLw09EwE0CqkOc4q9oUmW1yo/edit?usp=sharing"",""สุโขทัย!J446"")"),0)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IFERROR(__xludf.DUMMYFUNCTION("IMPORTRANGE(""https://docs.google.com/spreadsheets/d/11923uPwbBZFjjGgGUA6NLw09EwE0CqkOc4q9oUmW1yo/edit?usp=sharing"",""สุโขทัย!L446"")"),0)</f>
        <v>0</v>
      </c>
      <c r="M551" s="411"/>
      <c r="N551" s="411">
        <f ca="1">IFERROR(__xludf.DUMMYFUNCTION("IMPORTRANGE(""https://docs.google.com/spreadsheets/d/11923uPwbBZFjjGgGUA6NLw09EwE0CqkOc4q9oUmW1yo/edit?usp=sharing"",""สุโขทัย!M446"")"),0)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IFERROR(__xludf.DUMMYFUNCTION("IMPORTRANGE(""https://docs.google.com/spreadsheets/d/11923uPwbBZFjjGgGUA6NLw09EwE0CqkOc4q9oUmW1yo/edit?usp=sharing"",""สุโขทัย!L447"")"),0)</f>
        <v>0</v>
      </c>
      <c r="M552" s="164"/>
      <c r="N552" s="168">
        <f ca="1">IFERROR(__xludf.DUMMYFUNCTION("IMPORTRANGE(""https://docs.google.com/spreadsheets/d/11923uPwbBZFjjGgGUA6NLw09EwE0CqkOc4q9oUmW1yo/edit?usp=sharing"",""สุโขทัย!M447"")"),0)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IFERROR(__xludf.DUMMYFUNCTION("IMPORTRANGE(""https://docs.google.com/spreadsheets/d/11923uPwbBZFjjGgGUA6NLw09EwE0CqkOc4q9oUmW1yo/edit?usp=sharing"",""สุโขทัย!L448"")"),0)</f>
        <v>0</v>
      </c>
      <c r="M553" s="165"/>
      <c r="N553" s="168">
        <f ca="1">IFERROR(__xludf.DUMMYFUNCTION("IMPORTRANGE(""https://docs.google.com/spreadsheets/d/11923uPwbBZFjjGgGUA6NLw09EwE0CqkOc4q9oUmW1yo/edit?usp=sharing"",""สุโขทัย!M448"")"),0)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IFERROR(__xludf.DUMMYFUNCTION("IMPORTRANGE(""https://docs.google.com/spreadsheets/d/11923uPwbBZFjjGgGUA6NLw09EwE0CqkOc4q9oUmW1yo/edit?usp=sharing"",""สุโขทัย!L449"")"),0)</f>
        <v>0</v>
      </c>
      <c r="M554" s="168"/>
      <c r="N554" s="168">
        <f ca="1">IFERROR(__xludf.DUMMYFUNCTION("IMPORTRANGE(""https://docs.google.com/spreadsheets/d/11923uPwbBZFjjGgGUA6NLw09EwE0CqkOc4q9oUmW1yo/edit?usp=sharing"",""สุโขทัย!M449"")"),0)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IFERROR(__xludf.DUMMYFUNCTION("IMPORTRANGE(""https://docs.google.com/spreadsheets/d/11923uPwbBZFjjGgGUA6NLw09EwE0CqkOc4q9oUmW1yo/edit?usp=sharing"",""สุโขทัย!L450"")"),0)</f>
        <v>0</v>
      </c>
      <c r="M555" s="168"/>
      <c r="N555" s="168">
        <f ca="1">IFERROR(__xludf.DUMMYFUNCTION("IMPORTRANGE(""https://docs.google.com/spreadsheets/d/11923uPwbBZFjjGgGUA6NLw09EwE0CqkOc4q9oUmW1yo/edit?usp=sharing"",""สุโขทัย!M450"")"),0)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IFERROR(__xludf.DUMMYFUNCTION("IMPORTRANGE(""https://docs.google.com/spreadsheets/d/11923uPwbBZFjjGgGUA6NLw09EwE0CqkOc4q9oUmW1yo/edit?usp=sharing"",""สุโขทัย!M451"")"),0)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IFERROR(__xludf.DUMMYFUNCTION("IMPORTRANGE(""https://docs.google.com/spreadsheets/d/11923uPwbBZFjjGgGUA6NLw09EwE0CqkOc4q9oUmW1yo/edit?usp=sharing"",""สุโขทัย!M452"")"),0)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IFERROR(__xludf.DUMMYFUNCTION("IMPORTRANGE(""https://docs.google.com/spreadsheets/d/11923uPwbBZFjjGgGUA6NLw09EwE0CqkOc4q9oUmW1yo/edit?usp=sharing"",""สุโขทัย!M453"")"),0)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IFERROR(__xludf.DUMMYFUNCTION("IMPORTRANGE(""https://docs.google.com/spreadsheets/d/11923uPwbBZFjjGgGUA6NLw09EwE0CqkOc4q9oUmW1yo/edit?usp=sharing"",""สุโขทัย!M454"")"),0)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IFERROR(__xludf.DUMMYFUNCTION("IMPORTRANGE(""https://docs.google.com/spreadsheets/d/11923uPwbBZFjjGgGUA6NLw09EwE0CqkOc4q9oUmW1yo/edit?usp=sharing"",""สุโขทัย!I455"")"),0)</f>
        <v>0</v>
      </c>
      <c r="J560" s="162">
        <f ca="1">IFERROR(__xludf.DUMMYFUNCTION("IMPORTRANGE(""https://docs.google.com/spreadsheets/d/11923uPwbBZFjjGgGUA6NLw09EwE0CqkOc4q9oUmW1yo/edit?usp=sharing"",""สุโขทัย!J455"")"),0)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IFERROR(__xludf.DUMMYFUNCTION("IMPORTRANGE(""https://docs.google.com/spreadsheets/d/11923uPwbBZFjjGgGUA6NLw09EwE0CqkOc4q9oUmW1yo/edit?usp=sharing"",""สุโขทัย!I456"")"),0)</f>
        <v>0</v>
      </c>
      <c r="J561" s="203">
        <f ca="1">IFERROR(__xludf.DUMMYFUNCTION("IMPORTRANGE(""https://docs.google.com/spreadsheets/d/11923uPwbBZFjjGgGUA6NLw09EwE0CqkOc4q9oUmW1yo/edit?usp=sharing"",""สุโขทัย!J456"")"),0)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IFERROR(__xludf.DUMMYFUNCTION("IMPORTRANGE(""https://docs.google.com/spreadsheets/d/11923uPwbBZFjjGgGUA6NLw09EwE0CqkOc4q9oUmW1yo/edit?usp=sharing"",""สุโขทัย!I459"")"),2100)</f>
        <v>2100</v>
      </c>
      <c r="J564" s="370">
        <f ca="1">IFERROR(__xludf.DUMMYFUNCTION("IMPORTRANGE(""https://docs.google.com/spreadsheets/d/11923uPwbBZFjjGgGUA6NLw09EwE0CqkOc4q9oUmW1yo/edit?usp=sharing"",""สุโขทัย!J459"")"),6659)</f>
        <v>6659</v>
      </c>
      <c r="K564" s="371">
        <f ca="1">IF(I564&gt;0,J564*100/I564,0)</f>
        <v>317.09523809523807</v>
      </c>
      <c r="L564" s="372">
        <f ca="1">IFERROR(__xludf.DUMMYFUNCTION("IMPORTRANGE(""https://docs.google.com/spreadsheets/d/11923uPwbBZFjjGgGUA6NLw09EwE0CqkOc4q9oUmW1yo/edit?usp=sharing"",""สุโขทัย!L459"")"),142240)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IFERROR(__xludf.DUMMYFUNCTION("IMPORTRANGE(""https://docs.google.com/spreadsheets/d/11923uPwbBZFjjGgGUA6NLw09EwE0CqkOc4q9oUmW1yo/edit?usp=sharing"",""สุโขทัย!M459"")"),78215.48)</f>
        <v>78215.48</v>
      </c>
      <c r="O564" s="372">
        <f t="shared" ref="O564:O568" ca="1" si="122">+IF(L564&gt;0,N564*100/L564,0)</f>
        <v>54.988385826771655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IFERROR(__xludf.DUMMYFUNCTION("IMPORTRANGE(""https://docs.google.com/spreadsheets/d/11923uPwbBZFjjGgGUA6NLw09EwE0CqkOc4q9oUmW1yo/edit?usp=sharing"",""สุโขทัย!L460"")"),0)</f>
        <v>0</v>
      </c>
      <c r="M565" s="164"/>
      <c r="N565" s="168">
        <f ca="1">IFERROR(__xludf.DUMMYFUNCTION("IMPORTRANGE(""https://docs.google.com/spreadsheets/d/11923uPwbBZFjjGgGUA6NLw09EwE0CqkOc4q9oUmW1yo/edit?usp=sharing"",""สุโขทัย!M460"")"),0)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IFERROR(__xludf.DUMMYFUNCTION("IMPORTRANGE(""https://docs.google.com/spreadsheets/d/11923uPwbBZFjjGgGUA6NLw09EwE0CqkOc4q9oUmW1yo/edit?usp=sharing"",""สุโขทัย!L461"")"),142240)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IFERROR(__xludf.DUMMYFUNCTION("IMPORTRANGE(""https://docs.google.com/spreadsheets/d/11923uPwbBZFjjGgGUA6NLw09EwE0CqkOc4q9oUmW1yo/edit?usp=sharing"",""สุโขทัย!M461"")"),78215.48)</f>
        <v>78215.48</v>
      </c>
      <c r="O566" s="168">
        <f t="shared" ca="1" si="122"/>
        <v>54.988385826771655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IFERROR(__xludf.DUMMYFUNCTION("IMPORTRANGE(""https://docs.google.com/spreadsheets/d/11923uPwbBZFjjGgGUA6NLw09EwE0CqkOc4q9oUmW1yo/edit?usp=sharing"",""สุโขทัย!L462"")"),0)</f>
        <v>0</v>
      </c>
      <c r="M567" s="168"/>
      <c r="N567" s="168">
        <f ca="1">IFERROR(__xludf.DUMMYFUNCTION("IMPORTRANGE(""https://docs.google.com/spreadsheets/d/11923uPwbBZFjjGgGUA6NLw09EwE0CqkOc4q9oUmW1yo/edit?usp=sharing"",""สุโขทัย!M462"")"),0)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IFERROR(__xludf.DUMMYFUNCTION("IMPORTRANGE(""https://docs.google.com/spreadsheets/d/11923uPwbBZFjjGgGUA6NLw09EwE0CqkOc4q9oUmW1yo/edit?usp=sharing"",""สุโขทัย!L463"")"),142240)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IFERROR(__xludf.DUMMYFUNCTION("IMPORTRANGE(""https://docs.google.com/spreadsheets/d/11923uPwbBZFjjGgGUA6NLw09EwE0CqkOc4q9oUmW1yo/edit?usp=sharing"",""สุโขทัย!M463"")"),78215.48)</f>
        <v>78215.48</v>
      </c>
      <c r="O568" s="168">
        <f t="shared" ca="1" si="122"/>
        <v>54.988385826771655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IFERROR(__xludf.DUMMYFUNCTION("IMPORTRANGE(""https://docs.google.com/spreadsheets/d/11923uPwbBZFjjGgGUA6NLw09EwE0CqkOc4q9oUmW1yo/edit?usp=sharing"",""สุโขทัย!M464"")"),0)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IFERROR(__xludf.DUMMYFUNCTION("IMPORTRANGE(""https://docs.google.com/spreadsheets/d/11923uPwbBZFjjGgGUA6NLw09EwE0CqkOc4q9oUmW1yo/edit?usp=sharing"",""สุโขทัย!M465"")"),0)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IFERROR(__xludf.DUMMYFUNCTION("IMPORTRANGE(""https://docs.google.com/spreadsheets/d/11923uPwbBZFjjGgGUA6NLw09EwE0CqkOc4q9oUmW1yo/edit?usp=sharing"",""สุโขทัย!M466"")"),53935.48)</f>
        <v>53935.48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IFERROR(__xludf.DUMMYFUNCTION("IMPORTRANGE(""https://docs.google.com/spreadsheets/d/11923uPwbBZFjjGgGUA6NLw09EwE0CqkOc4q9oUmW1yo/edit?usp=sharing"",""สุโขทัย!M467"")"),24280)</f>
        <v>24280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IFERROR(__xludf.DUMMYFUNCTION("IMPORTRANGE(""https://docs.google.com/spreadsheets/d/11923uPwbBZFjjGgGUA6NLw09EwE0CqkOc4q9oUmW1yo/edit?usp=sharing"",""สุโขทัย!I468"")"),2100)</f>
        <v>2100</v>
      </c>
      <c r="J573" s="420">
        <f ca="1">IFERROR(__xludf.DUMMYFUNCTION("IMPORTRANGE(""https://docs.google.com/spreadsheets/d/11923uPwbBZFjjGgGUA6NLw09EwE0CqkOc4q9oUmW1yo/edit?usp=sharing"",""สุโขทัย!J468"")"),6659)</f>
        <v>6659</v>
      </c>
      <c r="K573" s="201">
        <f ca="1">IF(I573&gt;0,J573*100/I573,0)</f>
        <v>317.09523809523807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IFERROR(__xludf.DUMMYFUNCTION("IMPORTRANGE(""https://docs.google.com/spreadsheets/d/11923uPwbBZFjjGgGUA6NLw09EwE0CqkOc4q9oUmW1yo/edit?usp=sharing"",""สุโขทัย!I470"")"),0)</f>
        <v>0</v>
      </c>
      <c r="J575" s="197">
        <f ca="1">IFERROR(__xludf.DUMMYFUNCTION("IMPORTRANGE(""https://docs.google.com/spreadsheets/d/11923uPwbBZFjjGgGUA6NLw09EwE0CqkOc4q9oUmW1yo/edit?usp=sharing"",""สุโขทัย!J470"")"),8)</f>
        <v>8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IFERROR(__xludf.DUMMYFUNCTION("IMPORTRANGE(""https://docs.google.com/spreadsheets/d/11923uPwbBZFjjGgGUA6NLw09EwE0CqkOc4q9oUmW1yo/edit?usp=sharing"",""สุโขทัย!I471"")"),0)</f>
        <v>0</v>
      </c>
      <c r="J576" s="197">
        <f ca="1">IFERROR(__xludf.DUMMYFUNCTION("IMPORTRANGE(""https://docs.google.com/spreadsheets/d/11923uPwbBZFjjGgGUA6NLw09EwE0CqkOc4q9oUmW1yo/edit?usp=sharing"",""สุโขทัย!J471"")"),436)</f>
        <v>436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IFERROR(__xludf.DUMMYFUNCTION("IMPORTRANGE(""https://docs.google.com/spreadsheets/d/11923uPwbBZFjjGgGUA6NLw09EwE0CqkOc4q9oUmW1yo/edit?usp=sharing"",""สุโขทัย!I472"")"),0)</f>
        <v>0</v>
      </c>
      <c r="J577" s="188">
        <f ca="1">IFERROR(__xludf.DUMMYFUNCTION("IMPORTRANGE(""https://docs.google.com/spreadsheets/d/11923uPwbBZFjjGgGUA6NLw09EwE0CqkOc4q9oUmW1yo/edit?usp=sharing"",""สุโขทัย!J472"")"),6223)</f>
        <v>6223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IFERROR(__xludf.DUMMYFUNCTION("IMPORTRANGE(""https://docs.google.com/spreadsheets/d/11923uPwbBZFjjGgGUA6NLw09EwE0CqkOc4q9oUmW1yo/edit?usp=sharing"",""สุโขทัย!I473"")"),0)</f>
        <v>0</v>
      </c>
      <c r="J578" s="197">
        <f ca="1">IFERROR(__xludf.DUMMYFUNCTION("IMPORTRANGE(""https://docs.google.com/spreadsheets/d/11923uPwbBZFjjGgGUA6NLw09EwE0CqkOc4q9oUmW1yo/edit?usp=sharing"",""สุโขทัย!J473"")"),0)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IFERROR(__xludf.DUMMYFUNCTION("IMPORTRANGE(""https://docs.google.com/spreadsheets/d/11923uPwbBZFjjGgGUA6NLw09EwE0CqkOc4q9oUmW1yo/edit?usp=sharing"",""สุโขทัย!I474"")"),0)</f>
        <v>0</v>
      </c>
      <c r="J579" s="197">
        <f ca="1">IFERROR(__xludf.DUMMYFUNCTION("IMPORTRANGE(""https://docs.google.com/spreadsheets/d/11923uPwbBZFjjGgGUA6NLw09EwE0CqkOc4q9oUmW1yo/edit?usp=sharing"",""สุโขทัย!J474"")"),0)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IFERROR(__xludf.DUMMYFUNCTION("IMPORTRANGE(""https://docs.google.com/spreadsheets/d/11923uPwbBZFjjGgGUA6NLw09EwE0CqkOc4q9oUmW1yo/edit?usp=sharing"",""สุโขทัย!I475"")"),90)</f>
        <v>90</v>
      </c>
      <c r="J580" s="370">
        <f ca="1">IFERROR(__xludf.DUMMYFUNCTION("IMPORTRANGE(""https://docs.google.com/spreadsheets/d/11923uPwbBZFjjGgGUA6NLw09EwE0CqkOc4q9oUmW1yo/edit?usp=sharing"",""สุโขทัย!J475"")"),1)</f>
        <v>1</v>
      </c>
      <c r="K580" s="371">
        <f ca="1">IF(I580&gt;0,J580*100/I580,0)</f>
        <v>1.1111111111111112</v>
      </c>
      <c r="L580" s="372">
        <f ca="1">IFERROR(__xludf.DUMMYFUNCTION("IMPORTRANGE(""https://docs.google.com/spreadsheets/d/11923uPwbBZFjjGgGUA6NLw09EwE0CqkOc4q9oUmW1yo/edit?usp=sharing"",""สุโขทัย!L475"")"),296190)</f>
        <v>296190</v>
      </c>
      <c r="M580" s="372"/>
      <c r="N580" s="372">
        <f ca="1">IFERROR(__xludf.DUMMYFUNCTION("IMPORTRANGE(""https://docs.google.com/spreadsheets/d/11923uPwbBZFjjGgGUA6NLw09EwE0CqkOc4q9oUmW1yo/edit?usp=sharing"",""สุโขทัย!M475"")"),41590.45)</f>
        <v>41590.449999999997</v>
      </c>
      <c r="O580" s="372">
        <f t="shared" ref="O580:O584" ca="1" si="124">+IF(L580&gt;0,N580*100/L580,0)</f>
        <v>14.041814375907355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IFERROR(__xludf.DUMMYFUNCTION("IMPORTRANGE(""https://docs.google.com/spreadsheets/d/11923uPwbBZFjjGgGUA6NLw09EwE0CqkOc4q9oUmW1yo/edit?usp=sharing"",""สุโขทัย!L476"")"),0)</f>
        <v>0</v>
      </c>
      <c r="M581" s="164"/>
      <c r="N581" s="168">
        <f ca="1">IFERROR(__xludf.DUMMYFUNCTION("IMPORTRANGE(""https://docs.google.com/spreadsheets/d/11923uPwbBZFjjGgGUA6NLw09EwE0CqkOc4q9oUmW1yo/edit?usp=sharing"",""สุโขทัย!M476"")"),0)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IFERROR(__xludf.DUMMYFUNCTION("IMPORTRANGE(""https://docs.google.com/spreadsheets/d/11923uPwbBZFjjGgGUA6NLw09EwE0CqkOc4q9oUmW1yo/edit?usp=sharing"",""สุโขทัย!L477"")"),296190)</f>
        <v>296190</v>
      </c>
      <c r="M582" s="165"/>
      <c r="N582" s="168">
        <f ca="1">IFERROR(__xludf.DUMMYFUNCTION("IMPORTRANGE(""https://docs.google.com/spreadsheets/d/11923uPwbBZFjjGgGUA6NLw09EwE0CqkOc4q9oUmW1yo/edit?usp=sharing"",""สุโขทัย!M477"")"),41590.45)</f>
        <v>41590.449999999997</v>
      </c>
      <c r="O582" s="168">
        <f t="shared" ca="1" si="124"/>
        <v>14.041814375907355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IFERROR(__xludf.DUMMYFUNCTION("IMPORTRANGE(""https://docs.google.com/spreadsheets/d/11923uPwbBZFjjGgGUA6NLw09EwE0CqkOc4q9oUmW1yo/edit?usp=sharing"",""สุโขทัย!L478"")"),0)</f>
        <v>0</v>
      </c>
      <c r="M583" s="168"/>
      <c r="N583" s="168">
        <f ca="1">IFERROR(__xludf.DUMMYFUNCTION("IMPORTRANGE(""https://docs.google.com/spreadsheets/d/11923uPwbBZFjjGgGUA6NLw09EwE0CqkOc4q9oUmW1yo/edit?usp=sharing"",""สุโขทัย!M478"")"),0)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IFERROR(__xludf.DUMMYFUNCTION("IMPORTRANGE(""https://docs.google.com/spreadsheets/d/11923uPwbBZFjjGgGUA6NLw09EwE0CqkOc4q9oUmW1yo/edit?usp=sharing"",""สุโขทัย!L479"")"),296190)</f>
        <v>296190</v>
      </c>
      <c r="M584" s="168"/>
      <c r="N584" s="168">
        <f ca="1">IFERROR(__xludf.DUMMYFUNCTION("IMPORTRANGE(""https://docs.google.com/spreadsheets/d/11923uPwbBZFjjGgGUA6NLw09EwE0CqkOc4q9oUmW1yo/edit?usp=sharing"",""สุโขทัย!M479"")"),41590.45)</f>
        <v>41590.449999999997</v>
      </c>
      <c r="O584" s="168">
        <f t="shared" ca="1" si="124"/>
        <v>14.041814375907355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IFERROR(__xludf.DUMMYFUNCTION("IMPORTRANGE(""https://docs.google.com/spreadsheets/d/11923uPwbBZFjjGgGUA6NLw09EwE0CqkOc4q9oUmW1yo/edit?usp=sharing"",""สุโขทัย!M480"")"),0)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IFERROR(__xludf.DUMMYFUNCTION("IMPORTRANGE(""https://docs.google.com/spreadsheets/d/11923uPwbBZFjjGgGUA6NLw09EwE0CqkOc4q9oUmW1yo/edit?usp=sharing"",""สุโขทัย!M481"")"),0)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IFERROR(__xludf.DUMMYFUNCTION("IMPORTRANGE(""https://docs.google.com/spreadsheets/d/11923uPwbBZFjjGgGUA6NLw09EwE0CqkOc4q9oUmW1yo/edit?usp=sharing"",""สุโขทัย!M482"")"),0)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IFERROR(__xludf.DUMMYFUNCTION("IMPORTRANGE(""https://docs.google.com/spreadsheets/d/11923uPwbBZFjjGgGUA6NLw09EwE0CqkOc4q9oUmW1yo/edit?usp=sharing"",""สุโขทัย!M483"")"),41590.45)</f>
        <v>41590.449999999997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IFERROR(__xludf.DUMMYFUNCTION("IMPORTRANGE(""https://docs.google.com/spreadsheets/d/11923uPwbBZFjjGgGUA6NLw09EwE0CqkOc4q9oUmW1yo/edit?usp=sharing"",""สุโขทัย!I484"")"),90)</f>
        <v>90</v>
      </c>
      <c r="J589" s="187">
        <f ca="1">IFERROR(__xludf.DUMMYFUNCTION("IMPORTRANGE(""https://docs.google.com/spreadsheets/d/11923uPwbBZFjjGgGUA6NLw09EwE0CqkOc4q9oUmW1yo/edit?usp=sharing"",""สุโขทัย!J484"")"),95)</f>
        <v>95</v>
      </c>
      <c r="K589" s="163">
        <f t="shared" ref="K589:K596" ca="1" si="125">IF(I589&gt;0,J589*100/I589,0)</f>
        <v>105.55555555555556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IFERROR(__xludf.DUMMYFUNCTION("IMPORTRANGE(""https://docs.google.com/spreadsheets/d/11923uPwbBZFjjGgGUA6NLw09EwE0CqkOc4q9oUmW1yo/edit?usp=sharing"",""สุโขทัย!I485"")"),0)</f>
        <v>0</v>
      </c>
      <c r="J590" s="187">
        <f ca="1">IFERROR(__xludf.DUMMYFUNCTION("IMPORTRANGE(""https://docs.google.com/spreadsheets/d/11923uPwbBZFjjGgGUA6NLw09EwE0CqkOc4q9oUmW1yo/edit?usp=sharing"",""สุโขทัย!J485"")"),99.89)</f>
        <v>99.89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IFERROR(__xludf.DUMMYFUNCTION("IMPORTRANGE(""https://docs.google.com/spreadsheets/d/11923uPwbBZFjjGgGUA6NLw09EwE0CqkOc4q9oUmW1yo/edit?usp=sharing"",""สุโขทัย!I486"")"),90)</f>
        <v>90</v>
      </c>
      <c r="J591" s="187">
        <f ca="1">IFERROR(__xludf.DUMMYFUNCTION("IMPORTRANGE(""https://docs.google.com/spreadsheets/d/11923uPwbBZFjjGgGUA6NLw09EwE0CqkOc4q9oUmW1yo/edit?usp=sharing"",""สุโขทัย!J486"")"),58)</f>
        <v>58</v>
      </c>
      <c r="K591" s="163">
        <f t="shared" ca="1" si="125"/>
        <v>64.444444444444443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IFERROR(__xludf.DUMMYFUNCTION("IMPORTRANGE(""https://docs.google.com/spreadsheets/d/11923uPwbBZFjjGgGUA6NLw09EwE0CqkOc4q9oUmW1yo/edit?usp=sharing"",""สุโขทัย!I487"")"),0)</f>
        <v>0</v>
      </c>
      <c r="J592" s="187">
        <f ca="1">IFERROR(__xludf.DUMMYFUNCTION("IMPORTRANGE(""https://docs.google.com/spreadsheets/d/11923uPwbBZFjjGgGUA6NLw09EwE0CqkOc4q9oUmW1yo/edit?usp=sharing"",""สุโขทัย!J487"")"),62.37)</f>
        <v>62.37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IFERROR(__xludf.DUMMYFUNCTION("IMPORTRANGE(""https://docs.google.com/spreadsheets/d/11923uPwbBZFjjGgGUA6NLw09EwE0CqkOc4q9oUmW1yo/edit?usp=sharing"",""สุโขทัย!I488"")"),90)</f>
        <v>90</v>
      </c>
      <c r="J593" s="187">
        <f ca="1">IFERROR(__xludf.DUMMYFUNCTION("IMPORTRANGE(""https://docs.google.com/spreadsheets/d/11923uPwbBZFjjGgGUA6NLw09EwE0CqkOc4q9oUmW1yo/edit?usp=sharing"",""สุโขทัย!J488"")"),38)</f>
        <v>38</v>
      </c>
      <c r="K593" s="163">
        <f t="shared" ca="1" si="125"/>
        <v>42.222222222222221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IFERROR(__xludf.DUMMYFUNCTION("IMPORTRANGE(""https://docs.google.com/spreadsheets/d/11923uPwbBZFjjGgGUA6NLw09EwE0CqkOc4q9oUmW1yo/edit?usp=sharing"",""สุโขทัย!I489"")"),0)</f>
        <v>0</v>
      </c>
      <c r="J594" s="187">
        <f ca="1">IFERROR(__xludf.DUMMYFUNCTION("IMPORTRANGE(""https://docs.google.com/spreadsheets/d/11923uPwbBZFjjGgGUA6NLw09EwE0CqkOc4q9oUmW1yo/edit?usp=sharing"",""สุโขทัย!J489"")"),40.01)</f>
        <v>40.01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IFERROR(__xludf.DUMMYFUNCTION("IMPORTRANGE(""https://docs.google.com/spreadsheets/d/11923uPwbBZFjjGgGUA6NLw09EwE0CqkOc4q9oUmW1yo/edit?usp=sharing"",""สุโขทัย!I490"")"),90)</f>
        <v>90</v>
      </c>
      <c r="J595" s="187">
        <f ca="1">IFERROR(__xludf.DUMMYFUNCTION("IMPORTRANGE(""https://docs.google.com/spreadsheets/d/11923uPwbBZFjjGgGUA6NLw09EwE0CqkOc4q9oUmW1yo/edit?usp=sharing"",""สุโขทัย!J490"")"),1)</f>
        <v>1</v>
      </c>
      <c r="K595" s="163">
        <f t="shared" ca="1" si="125"/>
        <v>1.1111111111111112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IFERROR(__xludf.DUMMYFUNCTION("IMPORTRANGE(""https://docs.google.com/spreadsheets/d/11923uPwbBZFjjGgGUA6NLw09EwE0CqkOc4q9oUmW1yo/edit?usp=sharing"",""สุโขทัย!I491"")"),0)</f>
        <v>0</v>
      </c>
      <c r="J596" s="241">
        <f ca="1">IFERROR(__xludf.DUMMYFUNCTION("IMPORTRANGE(""https://docs.google.com/spreadsheets/d/11923uPwbBZFjjGgGUA6NLw09EwE0CqkOc4q9oUmW1yo/edit?usp=sharing"",""สุโขทัย!J491"")"),0.84)</f>
        <v>0.84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IFERROR(__xludf.DUMMYFUNCTION("IMPORTRANGE(""https://docs.google.com/spreadsheets/d/11923uPwbBZFjjGgGUA6NLw09EwE0CqkOc4q9oUmW1yo/edit?usp=sharing"",""สุโขทัย!I492"")"),100)</f>
        <v>100</v>
      </c>
      <c r="J597" s="488">
        <f ca="1">IFERROR(__xludf.DUMMYFUNCTION("IMPORTRANGE(""https://docs.google.com/spreadsheets/d/11923uPwbBZFjjGgGUA6NLw09EwE0CqkOc4q9oUmW1yo/edit?usp=sharing"",""สุโขทัย!J492"")"),0)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IFERROR(__xludf.DUMMYFUNCTION("IMPORTRANGE(""https://docs.google.com/spreadsheets/d/11923uPwbBZFjjGgGUA6NLw09EwE0CqkOc4q9oUmW1yo/edit?usp=sharing"",""สุโขทัย!L492"")"),7300)</f>
        <v>7300</v>
      </c>
      <c r="M597" s="411"/>
      <c r="N597" s="411">
        <f ca="1">IFERROR(__xludf.DUMMYFUNCTION("IMPORTRANGE(""https://docs.google.com/spreadsheets/d/11923uPwbBZFjjGgGUA6NLw09EwE0CqkOc4q9oUmW1yo/edit?usp=sharing"",""สุโขทัย!M492"")"),0)</f>
        <v>0</v>
      </c>
      <c r="O597" s="411">
        <f t="shared" ref="O597:O601" ca="1" si="126">+IF(L597&gt;0,N597*100/L597,0)</f>
        <v>0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IFERROR(__xludf.DUMMYFUNCTION("IMPORTRANGE(""https://docs.google.com/spreadsheets/d/11923uPwbBZFjjGgGUA6NLw09EwE0CqkOc4q9oUmW1yo/edit?usp=sharing"",""สุโขทัย!L493"")"),0)</f>
        <v>0</v>
      </c>
      <c r="M598" s="164"/>
      <c r="N598" s="168">
        <f ca="1">IFERROR(__xludf.DUMMYFUNCTION("IMPORTRANGE(""https://docs.google.com/spreadsheets/d/11923uPwbBZFjjGgGUA6NLw09EwE0CqkOc4q9oUmW1yo/edit?usp=sharing"",""สุโขทัย!M493"")"),0)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IFERROR(__xludf.DUMMYFUNCTION("IMPORTRANGE(""https://docs.google.com/spreadsheets/d/11923uPwbBZFjjGgGUA6NLw09EwE0CqkOc4q9oUmW1yo/edit?usp=sharing"",""สุโขทัย!L494"")"),7300)</f>
        <v>7300</v>
      </c>
      <c r="M599" s="165"/>
      <c r="N599" s="168">
        <f ca="1">IFERROR(__xludf.DUMMYFUNCTION("IMPORTRANGE(""https://docs.google.com/spreadsheets/d/11923uPwbBZFjjGgGUA6NLw09EwE0CqkOc4q9oUmW1yo/edit?usp=sharing"",""สุโขทัย!M494"")"),0)</f>
        <v>0</v>
      </c>
      <c r="O599" s="168">
        <f t="shared" ca="1" si="126"/>
        <v>0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IFERROR(__xludf.DUMMYFUNCTION("IMPORTRANGE(""https://docs.google.com/spreadsheets/d/11923uPwbBZFjjGgGUA6NLw09EwE0CqkOc4q9oUmW1yo/edit?usp=sharing"",""สุโขทัย!L495"")"),0)</f>
        <v>0</v>
      </c>
      <c r="M600" s="168"/>
      <c r="N600" s="168">
        <f ca="1">IFERROR(__xludf.DUMMYFUNCTION("IMPORTRANGE(""https://docs.google.com/spreadsheets/d/11923uPwbBZFjjGgGUA6NLw09EwE0CqkOc4q9oUmW1yo/edit?usp=sharing"",""สุโขทัย!M495"")"),0)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IFERROR(__xludf.DUMMYFUNCTION("IMPORTRANGE(""https://docs.google.com/spreadsheets/d/11923uPwbBZFjjGgGUA6NLw09EwE0CqkOc4q9oUmW1yo/edit?usp=sharing"",""สุโขทัย!L496"")"),7300)</f>
        <v>7300</v>
      </c>
      <c r="M601" s="168"/>
      <c r="N601" s="168">
        <f ca="1">IFERROR(__xludf.DUMMYFUNCTION("IMPORTRANGE(""https://docs.google.com/spreadsheets/d/11923uPwbBZFjjGgGUA6NLw09EwE0CqkOc4q9oUmW1yo/edit?usp=sharing"",""สุโขทัย!M496"")"),0)</f>
        <v>0</v>
      </c>
      <c r="O601" s="168">
        <f t="shared" ca="1" si="126"/>
        <v>0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IFERROR(__xludf.DUMMYFUNCTION("IMPORTRANGE(""https://docs.google.com/spreadsheets/d/11923uPwbBZFjjGgGUA6NLw09EwE0CqkOc4q9oUmW1yo/edit?usp=sharing"",""สุโขทัย!M497"")"),0)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IFERROR(__xludf.DUMMYFUNCTION("IMPORTRANGE(""https://docs.google.com/spreadsheets/d/11923uPwbBZFjjGgGUA6NLw09EwE0CqkOc4q9oUmW1yo/edit?usp=sharing"",""สุโขทัย!M498"")"),0)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IFERROR(__xludf.DUMMYFUNCTION("IMPORTRANGE(""https://docs.google.com/spreadsheets/d/11923uPwbBZFjjGgGUA6NLw09EwE0CqkOc4q9oUmW1yo/edit?usp=sharing"",""สุโขทัย!M499"")"),0)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IFERROR(__xludf.DUMMYFUNCTION("IMPORTRANGE(""https://docs.google.com/spreadsheets/d/11923uPwbBZFjjGgGUA6NLw09EwE0CqkOc4q9oUmW1yo/edit?usp=sharing"",""สุโขทัย!M500"")"),0)</f>
        <v>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IFERROR(__xludf.DUMMYFUNCTION("IMPORTRANGE(""https://docs.google.com/spreadsheets/d/11923uPwbBZFjjGgGUA6NLw09EwE0CqkOc4q9oUmW1yo/edit?usp=sharing"",""สุโขทัย!J502"")"),0)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IFERROR(__xludf.DUMMYFUNCTION("IMPORTRANGE(""https://docs.google.com/spreadsheets/d/11923uPwbBZFjjGgGUA6NLw09EwE0CqkOc4q9oUmW1yo/edit?usp=sharing"",""สุโขทัย!J503"")"),1)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IFERROR(__xludf.DUMMYFUNCTION("IMPORTRANGE(""https://docs.google.com/spreadsheets/d/11923uPwbBZFjjGgGUA6NLw09EwE0CqkOc4q9oUmW1yo/edit?usp=sharing"",""สุโขทัย!J166"")"),0)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IFERROR(__xludf.DUMMYFUNCTION("IMPORTRANGE(""https://docs.google.com/spreadsheets/d/11923uPwbBZFjjGgGUA6NLw09EwE0CqkOc4q9oUmW1yo/edit?usp=sharing"",""สุโขทัย!J166"")"),0)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IFERROR(__xludf.DUMMYFUNCTION("IMPORTRANGE(""https://docs.google.com/spreadsheets/d/11923uPwbBZFjjGgGUA6NLw09EwE0CqkOc4q9oUmW1yo/edit?usp=sharing"",""สุโขทัย!I506"")"),100)</f>
        <v>100</v>
      </c>
      <c r="J611" s="162">
        <f ca="1">IFERROR(__xludf.DUMMYFUNCTION("IMPORTRANGE(""https://docs.google.com/spreadsheets/d/11923uPwbBZFjjGgGUA6NLw09EwE0CqkOc4q9oUmW1yo/edit?usp=sharing"",""สุโขทัย!J506"")"),0)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IFERROR(__xludf.DUMMYFUNCTION("IMPORTRANGE(""https://docs.google.com/spreadsheets/d/11923uPwbBZFjjGgGUA6NLw09EwE0CqkOc4q9oUmW1yo/edit?usp=sharing"",""สุโขทัย!I507"")"),0)</f>
        <v>0</v>
      </c>
      <c r="J612" s="197">
        <f ca="1">IFERROR(__xludf.DUMMYFUNCTION("IMPORTRANGE(""https://docs.google.com/spreadsheets/d/11923uPwbBZFjjGgGUA6NLw09EwE0CqkOc4q9oUmW1yo/edit?usp=sharing"",""สุโขทัย!J507"")"),347)</f>
        <v>347</v>
      </c>
      <c r="K612" s="163">
        <f t="shared" ca="1" si="127"/>
        <v>347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IFERROR(__xludf.DUMMYFUNCTION("IMPORTRANGE(""https://docs.google.com/spreadsheets/d/11923uPwbBZFjjGgGUA6NLw09EwE0CqkOc4q9oUmW1yo/edit?usp=sharing"",""สุโขทัย!I508"")"),0)</f>
        <v>0</v>
      </c>
      <c r="J613" s="197">
        <f ca="1">IFERROR(__xludf.DUMMYFUNCTION("IMPORTRANGE(""https://docs.google.com/spreadsheets/d/11923uPwbBZFjjGgGUA6NLw09EwE0CqkOc4q9oUmW1yo/edit?usp=sharing"",""สุโขทัย!J508"")"),0)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IFERROR(__xludf.DUMMYFUNCTION("IMPORTRANGE(""https://docs.google.com/spreadsheets/d/11923uPwbBZFjjGgGUA6NLw09EwE0CqkOc4q9oUmW1yo/edit?usp=sharing"",""สุโขทัย!I509"")"),0)</f>
        <v>0</v>
      </c>
      <c r="J614" s="197">
        <f ca="1">IFERROR(__xludf.DUMMYFUNCTION("IMPORTRANGE(""https://docs.google.com/spreadsheets/d/11923uPwbBZFjjGgGUA6NLw09EwE0CqkOc4q9oUmW1yo/edit?usp=sharing"",""สุโขทัย!J509"")"),0)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IFERROR(__xludf.DUMMYFUNCTION("IMPORTRANGE(""https://docs.google.com/spreadsheets/d/11923uPwbBZFjjGgGUA6NLw09EwE0CqkOc4q9oUmW1yo/edit?usp=sharing"",""สุโขทัย!I510"")"),0)</f>
        <v>0</v>
      </c>
      <c r="J615" s="197">
        <f ca="1">IFERROR(__xludf.DUMMYFUNCTION("IMPORTRANGE(""https://docs.google.com/spreadsheets/d/11923uPwbBZFjjGgGUA6NLw09EwE0CqkOc4q9oUmW1yo/edit?usp=sharing"",""สุโขทัย!J510"")"),0)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IFERROR(__xludf.DUMMYFUNCTION("IMPORTRANGE(""https://docs.google.com/spreadsheets/d/11923uPwbBZFjjGgGUA6NLw09EwE0CqkOc4q9oUmW1yo/edit?usp=sharing"",""สุโขทัย!I511"")"),0)</f>
        <v>0</v>
      </c>
      <c r="J616" s="197">
        <f ca="1">IFERROR(__xludf.DUMMYFUNCTION("IMPORTRANGE(""https://docs.google.com/spreadsheets/d/11923uPwbBZFjjGgGUA6NLw09EwE0CqkOc4q9oUmW1yo/edit?usp=sharing"",""สุโขทัย!J511"")"),0)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IFERROR(__xludf.DUMMYFUNCTION("IMPORTRANGE(""https://docs.google.com/spreadsheets/d/11923uPwbBZFjjGgGUA6NLw09EwE0CqkOc4q9oUmW1yo/edit?usp=sharing"",""สุโขทัย!I512"")"),0)</f>
        <v>0</v>
      </c>
      <c r="J617" s="187">
        <f ca="1">IFERROR(__xludf.DUMMYFUNCTION("IMPORTRANGE(""https://docs.google.com/spreadsheets/d/11923uPwbBZFjjGgGUA6NLw09EwE0CqkOc4q9oUmW1yo/edit?usp=sharing"",""สุโขทัย!J512"")"),0)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IFERROR(__xludf.DUMMYFUNCTION("IMPORTRANGE(""https://docs.google.com/spreadsheets/d/11923uPwbBZFjjGgGUA6NLw09EwE0CqkOc4q9oUmW1yo/edit?usp=sharing"",""สุโขทัย!I513"")"),0)</f>
        <v>0</v>
      </c>
      <c r="J618" s="188">
        <f ca="1">IFERROR(__xludf.DUMMYFUNCTION("IMPORTRANGE(""https://docs.google.com/spreadsheets/d/11923uPwbBZFjjGgGUA6NLw09EwE0CqkOc4q9oUmW1yo/edit?usp=sharing"",""สุโขทัย!J513"")"),0)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IFERROR(__xludf.DUMMYFUNCTION("IMPORTRANGE(""https://docs.google.com/spreadsheets/d/11923uPwbBZFjjGgGUA6NLw09EwE0CqkOc4q9oUmW1yo/edit?usp=sharing"",""สุโขทัย!I514"")"),0)</f>
        <v>0</v>
      </c>
      <c r="J619" s="188">
        <f ca="1">IFERROR(__xludf.DUMMYFUNCTION("IMPORTRANGE(""https://docs.google.com/spreadsheets/d/11923uPwbBZFjjGgGUA6NLw09EwE0CqkOc4q9oUmW1yo/edit?usp=sharing"",""สุโขทัย!J514"")"),0)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IFERROR(__xludf.DUMMYFUNCTION("IMPORTRANGE(""https://docs.google.com/spreadsheets/d/11923uPwbBZFjjGgGUA6NLw09EwE0CqkOc4q9oUmW1yo/edit?usp=sharing"",""สุโขทัย!I515"")"),0)</f>
        <v>0</v>
      </c>
      <c r="J620" s="202">
        <f ca="1">IFERROR(__xludf.DUMMYFUNCTION("IMPORTRANGE(""https://docs.google.com/spreadsheets/d/11923uPwbBZFjjGgGUA6NLw09EwE0CqkOc4q9oUmW1yo/edit?usp=sharing"",""สุโขทัย!J515"")"),0)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IFERROR(__xludf.DUMMYFUNCTION("IMPORTRANGE(""https://docs.google.com/spreadsheets/d/11923uPwbBZFjjGgGUA6NLw09EwE0CqkOc4q9oUmW1yo/edit?usp=sharing"",""สุโขทัย!I516"")"),0)</f>
        <v>0</v>
      </c>
      <c r="J621" s="202">
        <f ca="1">IFERROR(__xludf.DUMMYFUNCTION("IMPORTRANGE(""https://docs.google.com/spreadsheets/d/11923uPwbBZFjjGgGUA6NLw09EwE0CqkOc4q9oUmW1yo/edit?usp=sharing"",""สุโขทัย!J516"")"),0)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IFERROR(__xludf.DUMMYFUNCTION("IMPORTRANGE(""https://docs.google.com/spreadsheets/d/11923uPwbBZFjjGgGUA6NLw09EwE0CqkOc4q9oUmW1yo/edit?usp=sharing"",""สุโขทัย!I517"")"),0)</f>
        <v>0</v>
      </c>
      <c r="J622" s="188">
        <f ca="1">IFERROR(__xludf.DUMMYFUNCTION("IMPORTRANGE(""https://docs.google.com/spreadsheets/d/11923uPwbBZFjjGgGUA6NLw09EwE0CqkOc4q9oUmW1yo/edit?usp=sharing"",""สุโขทัย!J517"")"),0)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IFERROR(__xludf.DUMMYFUNCTION("IMPORTRANGE(""https://docs.google.com/spreadsheets/d/11923uPwbBZFjjGgGUA6NLw09EwE0CqkOc4q9oUmW1yo/edit?usp=sharing"",""สุโขทัย!I518"")"),0)</f>
        <v>0</v>
      </c>
      <c r="J623" s="188">
        <f ca="1">IFERROR(__xludf.DUMMYFUNCTION("IMPORTRANGE(""https://docs.google.com/spreadsheets/d/11923uPwbBZFjjGgGUA6NLw09EwE0CqkOc4q9oUmW1yo/edit?usp=sharing"",""สุโขทัย!J518"")"),0)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IFERROR(__xludf.DUMMYFUNCTION("IMPORTRANGE(""https://docs.google.com/spreadsheets/d/11923uPwbBZFjjGgGUA6NLw09EwE0CqkOc4q9oUmW1yo/edit?usp=sharing"",""สุโขทัย!I519"")"),0)</f>
        <v>0</v>
      </c>
      <c r="J624" s="187">
        <f ca="1">IFERROR(__xludf.DUMMYFUNCTION("IMPORTRANGE(""https://docs.google.com/spreadsheets/d/11923uPwbBZFjjGgGUA6NLw09EwE0CqkOc4q9oUmW1yo/edit?usp=sharing"",""สุโขทัย!J519"")"),0)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IFERROR(__xludf.DUMMYFUNCTION("IMPORTRANGE(""https://docs.google.com/spreadsheets/d/11923uPwbBZFjjGgGUA6NLw09EwE0CqkOc4q9oUmW1yo/edit?usp=sharing"",""สุโขทัย!I520"")"),0)</f>
        <v>0</v>
      </c>
      <c r="J625" s="188">
        <f ca="1">IFERROR(__xludf.DUMMYFUNCTION("IMPORTRANGE(""https://docs.google.com/spreadsheets/d/11923uPwbBZFjjGgGUA6NLw09EwE0CqkOc4q9oUmW1yo/edit?usp=sharing"",""สุโขทัย!J520"")"),0)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IFERROR(__xludf.DUMMYFUNCTION("IMPORTRANGE(""https://docs.google.com/spreadsheets/d/11923uPwbBZFjjGgGUA6NLw09EwE0CqkOc4q9oUmW1yo/edit?usp=sharing"",""สุโขทัย!I521"")"),0)</f>
        <v>0</v>
      </c>
      <c r="J626" s="188">
        <f ca="1">IFERROR(__xludf.DUMMYFUNCTION("IMPORTRANGE(""https://docs.google.com/spreadsheets/d/11923uPwbBZFjjGgGUA6NLw09EwE0CqkOc4q9oUmW1yo/edit?usp=sharing"",""สุโขทัย!J521"")"),0)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41">
        <f ca="1">IFERROR(__xludf.DUMMYFUNCTION("IMPORTRANGE(""https://docs.google.com/spreadsheets/d/11923uPwbBZFjjGgGUA6NLw09EwE0CqkOc4q9oUmW1yo/edit?usp=sharing"",""สุโขทัย!J523"")"),4025943.6)</f>
        <v>4025943.6</v>
      </c>
      <c r="K628" s="342">
        <f t="shared" ref="K628:K635" ca="1" si="129">IF(I628&gt;0,J628*100/I628,0)</f>
        <v>65.705757154464905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IFERROR(__xludf.DUMMYFUNCTION("IMPORTRANGE(""https://docs.google.com/spreadsheets/d/11923uPwbBZFjjGgGUA6NLw09EwE0CqkOc4q9oUmW1yo/edit?usp=sharing"",""สุโขทัย!I524"")"),426)</f>
        <v>426</v>
      </c>
      <c r="J629" s="341">
        <f ca="1">IFERROR(__xludf.DUMMYFUNCTION("IMPORTRANGE(""https://docs.google.com/spreadsheets/d/11923uPwbBZFjjGgGUA6NLw09EwE0CqkOc4q9oUmW1yo/edit?usp=sharing"",""สุโขทัย!J524"")"),295)</f>
        <v>295</v>
      </c>
      <c r="K629" s="342">
        <f t="shared" ca="1" si="129"/>
        <v>69.248826291079808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41">
        <f ca="1">IFERROR(__xludf.DUMMYFUNCTION("IMPORTRANGE(""https://docs.google.com/spreadsheets/d/11923uPwbBZFjjGgGUA6NLw09EwE0CqkOc4q9oUmW1yo/edit?usp=sharing"",""สุโขทัย!J525"")"),1499096.93)</f>
        <v>1499096.93</v>
      </c>
      <c r="K630" s="342">
        <f t="shared" ca="1" si="129"/>
        <v>21.390943658924368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IFERROR(__xludf.DUMMYFUNCTION("IMPORTRANGE(""https://docs.google.com/spreadsheets/d/11923uPwbBZFjjGgGUA6NLw09EwE0CqkOc4q9oUmW1yo/edit?usp=sharing"",""สุโขทัย!I526"")"),256)</f>
        <v>256</v>
      </c>
      <c r="J631" s="341">
        <f ca="1">IFERROR(__xludf.DUMMYFUNCTION("IMPORTRANGE(""https://docs.google.com/spreadsheets/d/11923uPwbBZFjjGgGUA6NLw09EwE0CqkOc4q9oUmW1yo/edit?usp=sharing"",""สุโขทัย!J526"")"),213)</f>
        <v>213</v>
      </c>
      <c r="K631" s="342">
        <f t="shared" ca="1" si="129"/>
        <v>83.203125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IFERROR(__xludf.DUMMYFUNCTION("IMPORTRANGE(""https://docs.google.com/spreadsheets/d/11923uPwbBZFjjGgGUA6NLw09EwE0CqkOc4q9oUmW1yo/edit?usp=sharing"",""สุโขทัย!I527"")"),2664010.23)</f>
        <v>2664010.23</v>
      </c>
      <c r="J632" s="341">
        <f ca="1">IFERROR(__xludf.DUMMYFUNCTION("IMPORTRANGE(""https://docs.google.com/spreadsheets/d/11923uPwbBZFjjGgGUA6NLw09EwE0CqkOc4q9oUmW1yo/edit?usp=sharing"",""สุโขทัย!J527"")"),743220.26)</f>
        <v>743220.26</v>
      </c>
      <c r="K632" s="342">
        <f t="shared" ca="1" si="129"/>
        <v>27.898551275458129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IFERROR(__xludf.DUMMYFUNCTION("IMPORTRANGE(""https://docs.google.com/spreadsheets/d/11923uPwbBZFjjGgGUA6NLw09EwE0CqkOc4q9oUmW1yo/edit?usp=sharing"",""สุโขทัย!I528"")"),180)</f>
        <v>180</v>
      </c>
      <c r="J633" s="341">
        <f ca="1">IFERROR(__xludf.DUMMYFUNCTION("IMPORTRANGE(""https://docs.google.com/spreadsheets/d/11923uPwbBZFjjGgGUA6NLw09EwE0CqkOc4q9oUmW1yo/edit?usp=sharing"",""สุโขทัย!J528"")"),114)</f>
        <v>114</v>
      </c>
      <c r="K633" s="342">
        <f t="shared" ca="1" si="129"/>
        <v>63.333333333333336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IFERROR(__xludf.DUMMYFUNCTION("IMPORTRANGE(""https://docs.google.com/spreadsheets/d/11923uPwbBZFjjGgGUA6NLw09EwE0CqkOc4q9oUmW1yo/edit?usp=sharing"",""สุโขทัย!I529"")"),5000000)</f>
        <v>5000000</v>
      </c>
      <c r="J634" s="341">
        <f ca="1">IFERROR(__xludf.DUMMYFUNCTION("IMPORTRANGE(""https://docs.google.com/spreadsheets/d/11923uPwbBZFjjGgGUA6NLw09EwE0CqkOc4q9oUmW1yo/edit?usp=sharing"",""สุโขทัย!J529"")"),5000000)</f>
        <v>5000000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IFERROR(__xludf.DUMMYFUNCTION("IMPORTRANGE(""https://docs.google.com/spreadsheets/d/11923uPwbBZFjjGgGUA6NLw09EwE0CqkOc4q9oUmW1yo/edit?usp=sharing"",""สุโขทัย!I530"")"),114)</f>
        <v>114</v>
      </c>
      <c r="J635" s="505">
        <f ca="1">IFERROR(__xludf.DUMMYFUNCTION("IMPORTRANGE(""https://docs.google.com/spreadsheets/d/11923uPwbBZFjjGgGUA6NLw09EwE0CqkOc4q9oUmW1yo/edit?usp=sharing"",""สุโขทัย!J530"")"),105)</f>
        <v>105</v>
      </c>
      <c r="K635" s="487">
        <f t="shared" ca="1" si="129"/>
        <v>92.10526315789474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27095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27095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27095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IFERROR(__xludf.DUMMYFUNCTION("IMPORTRANGE(""https://docs.google.com/spreadsheets/d/11923uPwbBZFjjGgGUA6NLw09EwE0CqkOc4q9oUmW1yo/edit?usp=sharing"",""สุโขทัย!J541"")"),0)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IFERROR(__xludf.DUMMYFUNCTION("IMPORTRANGE(""https://docs.google.com/spreadsheets/d/11923uPwbBZFjjGgGUA6NLw09EwE0CqkOc4q9oUmW1yo/edit?usp=sharing"",""สุโขทัย!J542"")"),0)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IFERROR(__xludf.DUMMYFUNCTION("IMPORTRANGE(""https://docs.google.com/spreadsheets/d/11923uPwbBZFjjGgGUA6NLw09EwE0CqkOc4q9oUmW1yo/edit?usp=sharing"",""สุโขทัย!I543"")"),0)</f>
        <v>0</v>
      </c>
      <c r="J648" s="536">
        <f ca="1">IFERROR(__xludf.DUMMYFUNCTION("IMPORTRANGE(""https://docs.google.com/spreadsheets/d/11923uPwbBZFjjGgGUA6NLw09EwE0CqkOc4q9oUmW1yo/edit?usp=sharing"",""สุโขทัย!J543"")"),0)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IFERROR(__xludf.DUMMYFUNCTION("IMPORTRANGE(""https://docs.google.com/spreadsheets/d/11923uPwbBZFjjGgGUA6NLw09EwE0CqkOc4q9oUmW1yo/edit?usp=sharing"",""สุโขทัย!L543"")"),0)</f>
        <v>0</v>
      </c>
      <c r="M648" s="521"/>
      <c r="N648" s="538">
        <f ca="1">IFERROR(__xludf.DUMMYFUNCTION("IMPORTRANGE(""https://docs.google.com/spreadsheets/d/11923uPwbBZFjjGgGUA6NLw09EwE0CqkOc4q9oUmW1yo/edit?usp=sharing"",""สุโขทัย!M543"")"),0)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IFERROR(__xludf.DUMMYFUNCTION("IMPORTRANGE(""https://docs.google.com/spreadsheets/d/11923uPwbBZFjjGgGUA6NLw09EwE0CqkOc4q9oUmW1yo/edit?usp=sharing"",""สุโขทัย!I544"")"),0)</f>
        <v>0</v>
      </c>
      <c r="J649" s="536">
        <f ca="1">IFERROR(__xludf.DUMMYFUNCTION("IMPORTRANGE(""https://docs.google.com/spreadsheets/d/11923uPwbBZFjjGgGUA6NLw09EwE0CqkOc4q9oUmW1yo/edit?usp=sharing"",""สุโขทัย!J544"")"),0)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IFERROR(__xludf.DUMMYFUNCTION("IMPORTRANGE(""https://docs.google.com/spreadsheets/d/11923uPwbBZFjjGgGUA6NLw09EwE0CqkOc4q9oUmW1yo/edit?usp=sharing"",""สุโขทัย!L544"")"),0)</f>
        <v>0</v>
      </c>
      <c r="M649" s="521"/>
      <c r="N649" s="538">
        <f ca="1">IFERROR(__xludf.DUMMYFUNCTION("IMPORTRANGE(""https://docs.google.com/spreadsheets/d/11923uPwbBZFjjGgGUA6NLw09EwE0CqkOc4q9oUmW1yo/edit?usp=sharing"",""สุโขทัย!M544"")"),0)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IFERROR(__xludf.DUMMYFUNCTION("IMPORTRANGE(""https://docs.google.com/spreadsheets/d/11923uPwbBZFjjGgGUA6NLw09EwE0CqkOc4q9oUmW1yo/edit?usp=sharing"",""สุโขทัย!I545"")"),0)</f>
        <v>0</v>
      </c>
      <c r="J650" s="536">
        <f ca="1">IFERROR(__xludf.DUMMYFUNCTION("IMPORTRANGE(""https://docs.google.com/spreadsheets/d/11923uPwbBZFjjGgGUA6NLw09EwE0CqkOc4q9oUmW1yo/edit?usp=sharing"",""สุโขทัย!J545"")"),0)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IFERROR(__xludf.DUMMYFUNCTION("IMPORTRANGE(""https://docs.google.com/spreadsheets/d/11923uPwbBZFjjGgGUA6NLw09EwE0CqkOc4q9oUmW1yo/edit?usp=sharing"",""สุโขทัย!L545"")"),0)</f>
        <v>0</v>
      </c>
      <c r="M650" s="521"/>
      <c r="N650" s="538">
        <f ca="1">IFERROR(__xludf.DUMMYFUNCTION("IMPORTRANGE(""https://docs.google.com/spreadsheets/d/11923uPwbBZFjjGgGUA6NLw09EwE0CqkOc4q9oUmW1yo/edit?usp=sharing"",""สุโขทัย!M545"")"),0)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IFERROR(__xludf.DUMMYFUNCTION("IMPORTRANGE(""https://docs.google.com/spreadsheets/d/11923uPwbBZFjjGgGUA6NLw09EwE0CqkOc4q9oUmW1yo/edit?usp=sharing"",""สุโขทัย!I546"")"),719)</f>
        <v>719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IFERROR(__xludf.DUMMYFUNCTION("IMPORTRANGE(""https://docs.google.com/spreadsheets/d/11923uPwbBZFjjGgGUA6NLw09EwE0CqkOc4q9oUmW1yo/edit?usp=sharing"",""สุโขทัย!L546"")"),17975)</f>
        <v>17975</v>
      </c>
      <c r="M651" s="521"/>
      <c r="N651" s="538">
        <f ca="1">IFERROR(__xludf.DUMMYFUNCTION("IMPORTRANGE(""https://docs.google.com/spreadsheets/d/11923uPwbBZFjjGgGUA6NLw09EwE0CqkOc4q9oUmW1yo/edit?usp=sharing"",""สุโขทัย!M546"")"),0)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IFERROR(__xludf.DUMMYFUNCTION("IMPORTRANGE(""https://docs.google.com/spreadsheets/d/11923uPwbBZFjjGgGUA6NLw09EwE0CqkOc4q9oUmW1yo/edit?usp=sharing"",""สุโขทัย!J547"")"),0)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IFERROR(__xludf.DUMMYFUNCTION("IMPORTRANGE(""https://docs.google.com/spreadsheets/d/11923uPwbBZFjjGgGUA6NLw09EwE0CqkOc4q9oUmW1yo/edit?usp=sharing"",""สุโขทัย!J548"")"),0)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IFERROR(__xludf.DUMMYFUNCTION("IMPORTRANGE(""https://docs.google.com/spreadsheets/d/11923uPwbBZFjjGgGUA6NLw09EwE0CqkOc4q9oUmW1yo/edit?usp=sharing"",""สุโขทัย!J550"")"),0)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IFERROR(__xludf.DUMMYFUNCTION("IMPORTRANGE(""https://docs.google.com/spreadsheets/d/11923uPwbBZFjjGgGUA6NLw09EwE0CqkOc4q9oUmW1yo/edit?usp=sharing"",""สุโขทัย!J551"")"),0)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IFERROR(__xludf.DUMMYFUNCTION("IMPORTRANGE(""https://docs.google.com/spreadsheets/d/11923uPwbBZFjjGgGUA6NLw09EwE0CqkOc4q9oUmW1yo/edit?usp=sharing"",""สุโขทัย!J552"")"),0)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IFERROR(__xludf.DUMMYFUNCTION("IMPORTRANGE(""https://docs.google.com/spreadsheets/d/11923uPwbBZFjjGgGUA6NLw09EwE0CqkOc4q9oUmW1yo/edit?usp=sharing"",""สุโขทัย!J553"")"),0)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IFERROR(__xludf.DUMMYFUNCTION("IMPORTRANGE(""https://docs.google.com/spreadsheets/d/11923uPwbBZFjjGgGUA6NLw09EwE0CqkOc4q9oUmW1yo/edit?usp=sharing"",""สุโขทัย!J554"")"),0)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IFERROR(__xludf.DUMMYFUNCTION("IMPORTRANGE(""https://docs.google.com/spreadsheets/d/11923uPwbBZFjjGgGUA6NLw09EwE0CqkOc4q9oUmW1yo/edit?usp=sharing"",""สุโขทัย!J555"")"),0)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IFERROR(__xludf.DUMMYFUNCTION("IMPORTRANGE(""https://docs.google.com/spreadsheets/d/11923uPwbBZFjjGgGUA6NLw09EwE0CqkOc4q9oUmW1yo/edit?usp=sharing"",""สุโขทัย!J556"")"),0)</f>
        <v>0</v>
      </c>
      <c r="K661" s="537"/>
      <c r="L661" s="522">
        <f ca="1">IFERROR(__xludf.DUMMYFUNCTION("IMPORTRANGE(""https://docs.google.com/spreadsheets/d/11923uPwbBZFjjGgGUA6NLw09EwE0CqkOc4q9oUmW1yo/edit?usp=sharing"",""สุโขทัย!L556"")"),9120)</f>
        <v>9120</v>
      </c>
      <c r="M661" s="521"/>
      <c r="N661" s="538">
        <f ca="1">IFERROR(__xludf.DUMMYFUNCTION("IMPORTRANGE(""https://docs.google.com/spreadsheets/d/11923uPwbBZFjjGgGUA6NLw09EwE0CqkOc4q9oUmW1yo/edit?usp=sharing"",""สุโขทัย!M556"")"),0)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IFERROR(__xludf.DUMMYFUNCTION("IMPORTRANGE(""https://docs.google.com/spreadsheets/d/11923uPwbBZFjjGgGUA6NLw09EwE0CqkOc4q9oUmW1yo/edit?usp=sharing"",""สุโขทัย!J557"")"),0)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IFERROR(__xludf.DUMMYFUNCTION("IMPORTRANGE(""https://docs.google.com/spreadsheets/d/11923uPwbBZFjjGgGUA6NLw09EwE0CqkOc4q9oUmW1yo/edit?usp=sharing"",""สุโขทัย!I558"")"),228)</f>
        <v>228</v>
      </c>
      <c r="J663" s="536">
        <f ca="1">IFERROR(__xludf.DUMMYFUNCTION("IMPORTRANGE(""https://docs.google.com/spreadsheets/d/11923uPwbBZFjjGgGUA6NLw09EwE0CqkOc4q9oUmW1yo/edit?usp=sharing"",""สุโขทัย!J558"")"),0)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IFERROR(__xludf.DUMMYFUNCTION("IMPORTRANGE(""https://docs.google.com/spreadsheets/d/11923uPwbBZFjjGgGUA6NLw09EwE0CqkOc4q9oUmW1yo/edit?usp=sharing"",""สุโขทัย!I560"")"),0)</f>
        <v>0</v>
      </c>
      <c r="J665" s="536">
        <f ca="1">IFERROR(__xludf.DUMMYFUNCTION("IMPORTRANGE(""https://docs.google.com/spreadsheets/d/11923uPwbBZFjjGgGUA6NLw09EwE0CqkOc4q9oUmW1yo/edit?usp=sharing"",""สุโขทัย!J560"")"),0)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IFERROR(__xludf.DUMMYFUNCTION("IMPORTRANGE(""https://docs.google.com/spreadsheets/d/11923uPwbBZFjjGgGUA6NLw09EwE0CqkOc4q9oUmW1yo/edit?usp=sharing"",""สุโขทัย!L560"")"),0)</f>
        <v>0</v>
      </c>
      <c r="M665" s="521"/>
      <c r="N665" s="538">
        <f ca="1">IFERROR(__xludf.DUMMYFUNCTION("IMPORTRANGE(""https://docs.google.com/spreadsheets/d/11923uPwbBZFjjGgGUA6NLw09EwE0CqkOc4q9oUmW1yo/edit?usp=sharing"",""สุโขทัย!M560"")"),0)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IFERROR(__xludf.DUMMYFUNCTION("IMPORTRANGE(""https://docs.google.com/spreadsheets/d/11923uPwbBZFjjGgGUA6NLw09EwE0CqkOc4q9oUmW1yo/edit?usp=sharing"",""สุโขทัย!J561"")"),0)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IFERROR(__xludf.DUMMYFUNCTION("IMPORTRANGE(""https://docs.google.com/spreadsheets/d/11923uPwbBZFjjGgGUA6NLw09EwE0CqkOc4q9oUmW1yo/edit?usp=sharing"",""สุโขทัย!J562"")"),0)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IFERROR(__xludf.DUMMYFUNCTION("IMPORTRANGE(""https://docs.google.com/spreadsheets/d/11923uPwbBZFjjGgGUA6NLw09EwE0CqkOc4q9oUmW1yo/edit?usp=sharing"",""สุโขทัย!I563"")"),0)</f>
        <v>0</v>
      </c>
      <c r="J668" s="536">
        <f ca="1">IFERROR(__xludf.DUMMYFUNCTION("IMPORTRANGE(""https://docs.google.com/spreadsheets/d/11923uPwbBZFjjGgGUA6NLw09EwE0CqkOc4q9oUmW1yo/edit?usp=sharing"",""สุโขทัย!J563"")"),0)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IFERROR(__xludf.DUMMYFUNCTION("IMPORTRANGE(""https://docs.google.com/spreadsheets/d/11923uPwbBZFjjGgGUA6NLw09EwE0CqkOc4q9oUmW1yo/edit?usp=sharing"",""สุโขทัย!L563"")"),0)</f>
        <v>0</v>
      </c>
      <c r="M668" s="521"/>
      <c r="N668" s="538">
        <f ca="1">IFERROR(__xludf.DUMMYFUNCTION("IMPORTRANGE(""https://docs.google.com/spreadsheets/d/11923uPwbBZFjjGgGUA6NLw09EwE0CqkOc4q9oUmW1yo/edit?usp=sharing"",""สุโขทัย!M563"")"),0)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IFERROR(__xludf.DUMMYFUNCTION("IMPORTRANGE(""https://docs.google.com/spreadsheets/d/11923uPwbBZFjjGgGUA6NLw09EwE0CqkOc4q9oUmW1yo/edit?usp=sharing"",""สุโขทัย!J564"")"),0)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IFERROR(__xludf.DUMMYFUNCTION("IMPORTRANGE(""https://docs.google.com/spreadsheets/d/11923uPwbBZFjjGgGUA6NLw09EwE0CqkOc4q9oUmW1yo/edit?usp=sharing"",""สุโขทัย!J565"")"),0)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IFERROR(__xludf.DUMMYFUNCTION("IMPORTRANGE(""https://docs.google.com/spreadsheets/d/11923uPwbBZFjjGgGUA6NLw09EwE0CqkOc4q9oUmW1yo/edit?usp=sharing"",""สุโขทัย!I566"")"),0)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IFERROR(__xludf.DUMMYFUNCTION("IMPORTRANGE(""https://docs.google.com/spreadsheets/d/11923uPwbBZFjjGgGUA6NLw09EwE0CqkOc4q9oUmW1yo/edit?usp=sharing"",""สุโขทัย!L566"")"),0)</f>
        <v>0</v>
      </c>
      <c r="M671" s="521"/>
      <c r="N671" s="538">
        <f ca="1">IFERROR(__xludf.DUMMYFUNCTION("IMPORTRANGE(""https://docs.google.com/spreadsheets/d/11923uPwbBZFjjGgGUA6NLw09EwE0CqkOc4q9oUmW1yo/edit?usp=sharing"",""สุโขทัย!M566"")"),0)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IFERROR(__xludf.DUMMYFUNCTION("IMPORTRANGE(""https://docs.google.com/spreadsheets/d/11923uPwbBZFjjGgGUA6NLw09EwE0CqkOc4q9oUmW1yo/edit?usp=sharing"",""สุโขทัย!J567"")"),0)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IFERROR(__xludf.DUMMYFUNCTION("IMPORTRANGE(""https://docs.google.com/spreadsheets/d/11923uPwbBZFjjGgGUA6NLw09EwE0CqkOc4q9oUmW1yo/edit?usp=sharing"",""สุโขทัย!J568"")"),0)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IFERROR(__xludf.DUMMYFUNCTION("IMPORTRANGE(""https://docs.google.com/spreadsheets/d/11923uPwbBZFjjGgGUA6NLw09EwE0CqkOc4q9oUmW1yo/edit?usp=sharing"",""สุโขทัย!J569"")"),0)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IFERROR(__xludf.DUMMYFUNCTION("IMPORTRANGE(""https://docs.google.com/spreadsheets/d/11923uPwbBZFjjGgGUA6NLw09EwE0CqkOc4q9oUmW1yo/edit?usp=sharing"",""สุโขทัย!J570"")"),0)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IFERROR(__xludf.DUMMYFUNCTION("IMPORTRANGE(""https://docs.google.com/spreadsheets/d/11923uPwbBZFjjGgGUA6NLw09EwE0CqkOc4q9oUmW1yo/edit?usp=sharing"",""สุโขทัย!J571"")"),0)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IFERROR(__xludf.DUMMYFUNCTION("IMPORTRANGE(""https://docs.google.com/spreadsheets/d/11923uPwbBZFjjGgGUA6NLw09EwE0CqkOc4q9oUmW1yo/edit?usp=sharing"",""สุโขทัย!J572"")"),0)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3:P3"/>
    <mergeCell ref="A2:P2"/>
    <mergeCell ref="A1:P1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290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5635621.7000000002</v>
      </c>
      <c r="M8" s="23">
        <f t="shared" ca="1" si="0"/>
        <v>3547562.7</v>
      </c>
      <c r="N8" s="23">
        <f t="shared" ca="1" si="0"/>
        <v>4121134.08</v>
      </c>
      <c r="O8" s="22">
        <f t="shared" ref="O8:O16" ca="1" si="1">IF(L8&gt;0,N8*100/L8,0)</f>
        <v>73.126520894757718</v>
      </c>
      <c r="P8" s="22">
        <f t="shared" ref="P8:P16" ca="1" si="2">IF(M8&gt;0,N8*100/M8,0)</f>
        <v>116.16804066634255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5635621.7000000002</v>
      </c>
      <c r="M10" s="30">
        <f t="shared" ca="1" si="4"/>
        <v>3547562.7</v>
      </c>
      <c r="N10" s="30">
        <f t="shared" ca="1" si="4"/>
        <v>4121134.08</v>
      </c>
      <c r="O10" s="29">
        <f t="shared" ca="1" si="1"/>
        <v>73.126520894757718</v>
      </c>
      <c r="P10" s="29">
        <f t="shared" ca="1" si="2"/>
        <v>116.16804066634255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4790192</v>
      </c>
      <c r="M12" s="39">
        <f t="shared" ca="1" si="6"/>
        <v>2702133</v>
      </c>
      <c r="N12" s="39">
        <f t="shared" ca="1" si="6"/>
        <v>3275704.38</v>
      </c>
      <c r="O12" s="39">
        <f t="shared" ca="1" si="1"/>
        <v>68.383571681469135</v>
      </c>
      <c r="P12" s="39">
        <f t="shared" ca="1" si="2"/>
        <v>121.22661541826402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1880100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2910092</v>
      </c>
      <c r="M14" s="39">
        <f t="shared" si="8"/>
        <v>0</v>
      </c>
      <c r="N14" s="39">
        <f t="shared" ca="1" si="8"/>
        <v>1241840.69</v>
      </c>
      <c r="O14" s="39">
        <f t="shared" ca="1" si="1"/>
        <v>42.673588670048922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845429.7</v>
      </c>
      <c r="M16" s="39">
        <f t="shared" ca="1" si="10"/>
        <v>845429.7</v>
      </c>
      <c r="N16" s="39">
        <f t="shared" ca="1" si="10"/>
        <v>845429.7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3430894.7</v>
      </c>
      <c r="M18" s="23">
        <f t="shared" ca="1" si="11"/>
        <v>3547562.7</v>
      </c>
      <c r="N18" s="23">
        <f t="shared" ca="1" si="11"/>
        <v>2879293.3899999997</v>
      </c>
      <c r="O18" s="22">
        <f t="shared" ref="O18:O20" ca="1" si="12">IF(L18&gt;0,N18*100/L18,0)</f>
        <v>83.92252289176929</v>
      </c>
      <c r="P18" s="22">
        <f t="shared" ref="P18:P26" ca="1" si="13">IF(M18&gt;0,N18*100/M18,0)</f>
        <v>81.162579311142252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3430894.7</v>
      </c>
      <c r="M20" s="30">
        <f t="shared" ca="1" si="15"/>
        <v>3547562.7</v>
      </c>
      <c r="N20" s="30">
        <f t="shared" ca="1" si="15"/>
        <v>2879293.3899999997</v>
      </c>
      <c r="O20" s="29">
        <f t="shared" ca="1" si="12"/>
        <v>83.92252289176929</v>
      </c>
      <c r="P20" s="29">
        <f t="shared" ca="1" si="13"/>
        <v>81.162579311142252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2585465</v>
      </c>
      <c r="M22" s="42">
        <f t="shared" ca="1" si="18"/>
        <v>2702133</v>
      </c>
      <c r="N22" s="39">
        <f t="shared" ca="1" si="18"/>
        <v>2033863.69</v>
      </c>
      <c r="O22" s="39">
        <f t="shared" ca="1" si="17"/>
        <v>78.66529579785454</v>
      </c>
      <c r="P22" s="39">
        <f t="shared" ca="1" si="13"/>
        <v>75.268822445083202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1880100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705365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845429.7</v>
      </c>
      <c r="M26" s="50">
        <f t="shared" ca="1" si="22"/>
        <v>845429.7</v>
      </c>
      <c r="N26" s="50">
        <f t="shared" ca="1" si="22"/>
        <v>845429.7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2204727</v>
      </c>
      <c r="M28" s="23">
        <f t="shared" si="23"/>
        <v>0</v>
      </c>
      <c r="N28" s="23">
        <f t="shared" ca="1" si="23"/>
        <v>1241840.69</v>
      </c>
      <c r="O28" s="22">
        <f t="shared" ref="O28:O30" ca="1" si="24">IF(L28&gt;0,N28*100/L28,0)</f>
        <v>56.326279398764562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2204727</v>
      </c>
      <c r="M30" s="30">
        <f t="shared" si="27"/>
        <v>0</v>
      </c>
      <c r="N30" s="30">
        <f t="shared" ca="1" si="27"/>
        <v>1241840.69</v>
      </c>
      <c r="O30" s="29">
        <f t="shared" ca="1" si="24"/>
        <v>56.326279398764562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2204727</v>
      </c>
      <c r="M32" s="39">
        <f t="shared" si="30"/>
        <v>0</v>
      </c>
      <c r="N32" s="39">
        <f t="shared" ca="1" si="30"/>
        <v>1241840.69</v>
      </c>
      <c r="O32" s="39">
        <f t="shared" ca="1" si="29"/>
        <v>56.326279398764562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2204727</v>
      </c>
      <c r="M34" s="39">
        <f t="shared" si="32"/>
        <v>0</v>
      </c>
      <c r="N34" s="39">
        <f t="shared" ca="1" si="32"/>
        <v>1241840.69</v>
      </c>
      <c r="O34" s="39">
        <f t="shared" ca="1" si="29"/>
        <v>56.326279398764562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3430894.7</v>
      </c>
      <c r="M37" s="55">
        <f t="shared" ca="1" si="33"/>
        <v>3547562.7</v>
      </c>
      <c r="N37" s="55">
        <f t="shared" ca="1" si="33"/>
        <v>2879293.39</v>
      </c>
      <c r="O37" s="56">
        <f t="shared" ca="1" si="29"/>
        <v>83.922522891769304</v>
      </c>
      <c r="P37" s="56">
        <f t="shared" ca="1" si="25"/>
        <v>81.162579311142267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1487129.7</v>
      </c>
      <c r="M41" s="79">
        <f t="shared" ca="1" si="34"/>
        <v>1488983.7</v>
      </c>
      <c r="N41" s="79">
        <f t="shared" ca="1" si="34"/>
        <v>1296112.33</v>
      </c>
      <c r="O41" s="78">
        <f t="shared" ref="O41:O43" ca="1" si="35">IF(L41&gt;0,N41*100/L41,0)</f>
        <v>87.155298559365733</v>
      </c>
      <c r="P41" s="78">
        <f t="shared" ref="P41:P43" ca="1" si="36">IF(M41&gt;0,N41*100/M41,0)</f>
        <v>87.046777610795871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1487129.7</v>
      </c>
      <c r="M43" s="79">
        <f t="shared" ca="1" si="38"/>
        <v>1488983.7</v>
      </c>
      <c r="N43" s="79">
        <f t="shared" ca="1" si="38"/>
        <v>1296112.33</v>
      </c>
      <c r="O43" s="78">
        <f t="shared" ca="1" si="35"/>
        <v>87.155298559365733</v>
      </c>
      <c r="P43" s="78">
        <f t="shared" ca="1" si="36"/>
        <v>87.046777610795871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734100</v>
      </c>
      <c r="M45" s="50">
        <f ca="1">IFERROR(__xludf.DUMMYFUNCTION("IMPORTRANGE(""https://docs.google.com/spreadsheets/d/1Yj_ptqi66GCucihVvJfMjLAmec39IyEx_6qawtMGysU/edit?usp=sharing"",""สบก!Q35"")"),735954)</f>
        <v>735954</v>
      </c>
      <c r="N45" s="50">
        <f ca="1">IFERROR(__xludf.DUMMYFUNCTION("IMPORTRANGE(""https://docs.google.com/spreadsheets/d/1Yj_ptqi66GCucihVvJfMjLAmec39IyEx_6qawtMGysU/edit?usp=sharing"",""สบก!R35"")"),543082.63)</f>
        <v>543082.63</v>
      </c>
      <c r="O45" s="39">
        <f ca="1">IF(L45&gt;0,N45*100/L45,0)</f>
        <v>73.979380193434139</v>
      </c>
      <c r="P45" s="39">
        <f ca="1">IF(M45&gt;0,N45*100/M45,0)</f>
        <v>73.793012878522305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IFERROR(__xludf.DUMMYFUNCTION("IMPORTRANGE(""https://docs.google.com/spreadsheets/d/1Yj_ptqi66GCucihVvJfMjLAmec39IyEx_6qawtMGysU/edit?usp=sharing"",""สบก!M35"")"),734100)</f>
        <v>734100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IFERROR(__xludf.DUMMYFUNCTION("IMPORTRANGE(""https://docs.google.com/spreadsheets/d/1Yj_ptqi66GCucihVvJfMjLAmec39IyEx_6qawtMGysU/edit?usp=sharing"",""สบก!N35"")"),0)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IFERROR(__xludf.DUMMYFUNCTION("IMPORTRANGE(""https://docs.google.com/spreadsheets/d/1Yj_ptqi66GCucihVvJfMjLAmec39IyEx_6qawtMGysU/edit?usp=sharing"",""สบก!O35"")"),753029.7)</f>
        <v>753029.7</v>
      </c>
      <c r="M49" s="50">
        <f ca="1">L49</f>
        <v>753029.7</v>
      </c>
      <c r="N49" s="50">
        <f ca="1">IFERROR(__xludf.DUMMYFUNCTION("IMPORTRANGE(""https://docs.google.com/spreadsheets/d/1Yj_ptqi66GCucihVvJfMjLAmec39IyEx_6qawtMGysU/edit?usp=sharing"",""สบก!S35"")"),753029.7)</f>
        <v>753029.7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420914</v>
      </c>
      <c r="N53" s="121">
        <f t="shared" ca="1" si="39"/>
        <v>416801</v>
      </c>
      <c r="O53" s="120">
        <f t="shared" ref="O53:O55" ca="1" si="40">IF(L53&gt;0,N53*100/L53,0)</f>
        <v>104.20025</v>
      </c>
      <c r="P53" s="120">
        <f t="shared" ref="P53:P55" ca="1" si="41">IF(M53&gt;0,N53*100/M53,0)</f>
        <v>99.022840770323626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420914</v>
      </c>
      <c r="N55" s="121">
        <f t="shared" ca="1" si="43"/>
        <v>416801</v>
      </c>
      <c r="O55" s="120">
        <f t="shared" ca="1" si="40"/>
        <v>104.20025</v>
      </c>
      <c r="P55" s="120">
        <f t="shared" ca="1" si="41"/>
        <v>99.022840770323626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IFERROR(__xludf.DUMMYFUNCTION("IMPORTRANGE(""https://docs.google.com/spreadsheets/d/1Yj_ptqi66GCucihVvJfMjLAmec39IyEx_6qawtMGysU/edit?usp=sharing"",""สบก!Z35"")"),420914)</f>
        <v>420914</v>
      </c>
      <c r="N57" s="50">
        <f ca="1">IFERROR(__xludf.DUMMYFUNCTION("IMPORTRANGE(""https://docs.google.com/spreadsheets/d/1Yj_ptqi66GCucihVvJfMjLAmec39IyEx_6qawtMGysU/edit?usp=sharing"",""สบก!AA35"")"),416801)</f>
        <v>416801</v>
      </c>
      <c r="O57" s="39">
        <f ca="1">IF(L57&gt;0,N57*100/L57,0)</f>
        <v>104.20025</v>
      </c>
      <c r="P57" s="39">
        <f ca="1">IF(M57&gt;0,N57*100/M57,0)</f>
        <v>99.022840770323626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IFERROR(__xludf.DUMMYFUNCTION("IMPORTRANGE(""https://docs.google.com/spreadsheets/d/1Yj_ptqi66GCucihVvJfMjLAmec39IyEx_6qawtMGysU/edit?usp=sharing"",""สบก!V35"")"),400000)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IFERROR(__xludf.DUMMYFUNCTION("IMPORTRANGE(""https://docs.google.com/spreadsheets/d/1Yj_ptqi66GCucihVvJfMjLAmec39IyEx_6qawtMGysU/edit?usp=sharing"",""สบก!W35"")"),0)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IFERROR(__xludf.DUMMYFUNCTION("IMPORTRANGE(""https://docs.google.com/spreadsheets/d/1Yj_ptqi66GCucihVvJfMjLAmec39IyEx_6qawtMGysU/edit?usp=sharing"",""สบก!X35"")"),0)</f>
        <v>0</v>
      </c>
      <c r="M61" s="50"/>
      <c r="N61" s="50">
        <f ca="1">IFERROR(__xludf.DUMMYFUNCTION("IMPORTRANGE(""https://docs.google.com/spreadsheets/d/1Yj_ptqi66GCucihVvJfMjLAmec39IyEx_6qawtMGysU/edit?usp=sharing"",""สบก!AB35"")"),0)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IFERROR(__xludf.DUMMYFUNCTION("IMPORTRANGE(""https://docs.google.com/spreadsheets/d/11923uPwbBZFjjGgGUA6NLw09EwE0CqkOc4q9oUmW1yo/edit?usp=sharing"",""อุตรดิตถ์!I9"")"),0)</f>
        <v>0</v>
      </c>
      <c r="J64" s="142">
        <f ca="1">IFERROR(__xludf.DUMMYFUNCTION("IMPORTRANGE(""https://docs.google.com/spreadsheets/d/11923uPwbBZFjjGgGUA6NLw09EwE0CqkOc4q9oUmW1yo/edit?usp=sharing"",""อุตรดิตถ์!J9"")"),0)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IFERROR(__xludf.DUMMYFUNCTION("IMPORTRANGE(""https://docs.google.com/spreadsheets/d/11923uPwbBZFjjGgGUA6NLw09EwE0CqkOc4q9oUmW1yo/edit?usp=sharing"",""อุตรดิตถ์!I10"")"),0)</f>
        <v>0</v>
      </c>
      <c r="J65" s="142">
        <f ca="1">IFERROR(__xludf.DUMMYFUNCTION("IMPORTRANGE(""https://docs.google.com/spreadsheets/d/11923uPwbBZFjjGgGUA6NLw09EwE0CqkOc4q9oUmW1yo/edit?usp=sharing"",""อุตรดิตถ์!J10"")"),0)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IFERROR(__xludf.DUMMYFUNCTION("IMPORTRANGE(""https://docs.google.com/spreadsheets/d/1Yj_ptqi66GCucihVvJfMjLAmec39IyEx_6qawtMGysU/edit?usp=sharing"",""สบก!AI35"")"),0)</f>
        <v>0</v>
      </c>
      <c r="N70" s="168">
        <f ca="1">IFERROR(__xludf.DUMMYFUNCTION("IMPORTRANGE(""https://docs.google.com/spreadsheets/d/1Yj_ptqi66GCucihVvJfMjLAmec39IyEx_6qawtMGysU/edit?usp=sharing"",""สบก!AJ35"")"),0)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IFERROR(__xludf.DUMMYFUNCTION("IMPORTRANGE(""https://docs.google.com/spreadsheets/d/1Yj_ptqi66GCucihVvJfMjLAmec39IyEx_6qawtMGysU/edit?usp=sharing"",""สบก!AE35"")"),0)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IFERROR(__xludf.DUMMYFUNCTION("IMPORTRANGE(""https://docs.google.com/spreadsheets/d/1Yj_ptqi66GCucihVvJfMjLAmec39IyEx_6qawtMGysU/edit?usp=sharing"",""สบก!AF35"")"),0)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IFERROR(__xludf.DUMMYFUNCTION("IMPORTRANGE(""https://docs.google.com/spreadsheets/d/1Yj_ptqi66GCucihVvJfMjLAmec39IyEx_6qawtMGysU/edit?usp=sharing"",""สบก!AG35"")"),0)</f>
        <v>0</v>
      </c>
      <c r="M74" s="50"/>
      <c r="N74" s="50">
        <f ca="1">IFERROR(__xludf.DUMMYFUNCTION("IMPORTRANGE(""https://docs.google.com/spreadsheets/d/1Yj_ptqi66GCucihVvJfMjLAmec39IyEx_6qawtMGysU/edit?usp=sharing"",""สบก!AK35"")"),0)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IFERROR(__xludf.DUMMYFUNCTION("IMPORTRANGE(""https://docs.google.com/spreadsheets/d/11923uPwbBZFjjGgGUA6NLw09EwE0CqkOc4q9oUmW1yo/edit?usp=sharing"",""อุตรดิตถ์!J16"")"),0)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IFERROR(__xludf.DUMMYFUNCTION("IMPORTRANGE(""https://docs.google.com/spreadsheets/d/11923uPwbBZFjjGgGUA6NLw09EwE0CqkOc4q9oUmW1yo/edit?usp=sharing"",""อุตรดิตถ์!J17"")"),0)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IFERROR(__xludf.DUMMYFUNCTION("IMPORTRANGE(""https://docs.google.com/spreadsheets/d/11923uPwbBZFjjGgGUA6NLw09EwE0CqkOc4q9oUmW1yo/edit?usp=sharing"",""อุตรดิตถ์!J18"")"),0)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IFERROR(__xludf.DUMMYFUNCTION("IMPORTRANGE(""https://docs.google.com/spreadsheets/d/11923uPwbBZFjjGgGUA6NLw09EwE0CqkOc4q9oUmW1yo/edit?usp=sharing"",""อุตรดิตถ์!J19"")"),0)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IFERROR(__xludf.DUMMYFUNCTION("IMPORTRANGE(""https://docs.google.com/spreadsheets/d/11923uPwbBZFjjGgGUA6NLw09EwE0CqkOc4q9oUmW1yo/edit?usp=sharing"",""อุตรดิตถ์!I20"")"),0)</f>
        <v>0</v>
      </c>
      <c r="J80" s="200">
        <f ca="1">IFERROR(__xludf.DUMMYFUNCTION("IMPORTRANGE(""https://docs.google.com/spreadsheets/d/11923uPwbBZFjjGgGUA6NLw09EwE0CqkOc4q9oUmW1yo/edit?usp=sharing"",""อุตรดิตถ์!J20"")"),0)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IFERROR(__xludf.DUMMYFUNCTION("IMPORTRANGE(""https://docs.google.com/spreadsheets/d/11923uPwbBZFjjGgGUA6NLw09EwE0CqkOc4q9oUmW1yo/edit?usp=sharing"",""อุตรดิตถ์!I21"")"),0)</f>
        <v>0</v>
      </c>
      <c r="J81" s="200">
        <f ca="1">IFERROR(__xludf.DUMMYFUNCTION("IMPORTRANGE(""https://docs.google.com/spreadsheets/d/11923uPwbBZFjjGgGUA6NLw09EwE0CqkOc4q9oUmW1yo/edit?usp=sharing"",""อุตรดิตถ์!J21"")"),0)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IFERROR(__xludf.DUMMYFUNCTION("IMPORTRANGE(""https://docs.google.com/spreadsheets/d/11923uPwbBZFjjGgGUA6NLw09EwE0CqkOc4q9oUmW1yo/edit?usp=sharing"",""อุตรดิตถ์!I22"")"),0)</f>
        <v>0</v>
      </c>
      <c r="J82" s="203">
        <f ca="1">IFERROR(__xludf.DUMMYFUNCTION("IMPORTRANGE(""https://docs.google.com/spreadsheets/d/11923uPwbBZFjjGgGUA6NLw09EwE0CqkOc4q9oUmW1yo/edit?usp=sharing"",""อุตรดิตถ์!J22"")"),0)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IFERROR(__xludf.DUMMYFUNCTION("IMPORTRANGE(""https://docs.google.com/spreadsheets/d/11923uPwbBZFjjGgGUA6NLw09EwE0CqkOc4q9oUmW1yo/edit?usp=sharing"",""อุตรดิตถ์!I23"")"),0)</f>
        <v>0</v>
      </c>
      <c r="J83" s="203">
        <f ca="1">IFERROR(__xludf.DUMMYFUNCTION("IMPORTRANGE(""https://docs.google.com/spreadsheets/d/11923uPwbBZFjjGgGUA6NLw09EwE0CqkOc4q9oUmW1yo/edit?usp=sharing"",""อุตรดิตถ์!J23"")"),0)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IFERROR(__xludf.DUMMYFUNCTION("IMPORTRANGE(""https://docs.google.com/spreadsheets/d/11923uPwbBZFjjGgGUA6NLw09EwE0CqkOc4q9oUmW1yo/edit?usp=sharing"",""อุตรดิตถ์!I24"")"),0)</f>
        <v>0</v>
      </c>
      <c r="J84" s="188">
        <f ca="1">IFERROR(__xludf.DUMMYFUNCTION("IMPORTRANGE(""https://docs.google.com/spreadsheets/d/11923uPwbBZFjjGgGUA6NLw09EwE0CqkOc4q9oUmW1yo/edit?usp=sharing"",""อุตรดิตถ์!J24"")"),0)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IFERROR(__xludf.DUMMYFUNCTION("IMPORTRANGE(""https://docs.google.com/spreadsheets/d/11923uPwbBZFjjGgGUA6NLw09EwE0CqkOc4q9oUmW1yo/edit?usp=sharing"",""อุตรดิตถ์!I25"")"),0)</f>
        <v>0</v>
      </c>
      <c r="J85" s="188">
        <f ca="1">IFERROR(__xludf.DUMMYFUNCTION("IMPORTRANGE(""https://docs.google.com/spreadsheets/d/11923uPwbBZFjjGgGUA6NLw09EwE0CqkOc4q9oUmW1yo/edit?usp=sharing"",""อุตรดิตถ์!J25"")"),0)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IFERROR(__xludf.DUMMYFUNCTION("IMPORTRANGE(""https://docs.google.com/spreadsheets/d/11923uPwbBZFjjGgGUA6NLw09EwE0CqkOc4q9oUmW1yo/edit?usp=sharing"",""อุตรดิตถ์!I26"")"),0)</f>
        <v>0</v>
      </c>
      <c r="J86" s="203">
        <f ca="1">IFERROR(__xludf.DUMMYFUNCTION("IMPORTRANGE(""https://docs.google.com/spreadsheets/d/11923uPwbBZFjjGgGUA6NLw09EwE0CqkOc4q9oUmW1yo/edit?usp=sharing"",""อุตรดิตถ์!J26"")"),0)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IFERROR(__xludf.DUMMYFUNCTION("IMPORTRANGE(""https://docs.google.com/spreadsheets/d/11923uPwbBZFjjGgGUA6NLw09EwE0CqkOc4q9oUmW1yo/edit?usp=sharing"",""อุตรดิตถ์!I27"")"),0)</f>
        <v>0</v>
      </c>
      <c r="J87" s="203">
        <f ca="1">IFERROR(__xludf.DUMMYFUNCTION("IMPORTRANGE(""https://docs.google.com/spreadsheets/d/11923uPwbBZFjjGgGUA6NLw09EwE0CqkOc4q9oUmW1yo/edit?usp=sharing"",""อุตรดิตถ์!J27"")"),0)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IFERROR(__xludf.DUMMYFUNCTION("IMPORTRANGE(""https://docs.google.com/spreadsheets/d/11923uPwbBZFjjGgGUA6NLw09EwE0CqkOc4q9oUmW1yo/edit?usp=sharing"",""อุตรดิตถ์!I28"")"),0)</f>
        <v>0</v>
      </c>
      <c r="J88" s="203">
        <f ca="1">IFERROR(__xludf.DUMMYFUNCTION("IMPORTRANGE(""https://docs.google.com/spreadsheets/d/11923uPwbBZFjjGgGUA6NLw09EwE0CqkOc4q9oUmW1yo/edit?usp=sharing"",""อุตรดิตถ์!J28"")"),0)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IFERROR(__xludf.DUMMYFUNCTION("IMPORTRANGE(""https://docs.google.com/spreadsheets/d/11923uPwbBZFjjGgGUA6NLw09EwE0CqkOc4q9oUmW1yo/edit?usp=sharing"",""อุตรดิตถ์!J29"")"),0)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IFERROR(__xludf.DUMMYFUNCTION("IMPORTRANGE(""https://docs.google.com/spreadsheets/d/11923uPwbBZFjjGgGUA6NLw09EwE0CqkOc4q9oUmW1yo/edit?usp=sharing"",""อุตรดิตถ์!J30"")"),0)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IFERROR(__xludf.DUMMYFUNCTION("IMPORTRANGE(""https://docs.google.com/spreadsheets/d/11923uPwbBZFjjGgGUA6NLw09EwE0CqkOc4q9oUmW1yo/edit?usp=sharing"",""อุตรดิตถ์!I32"")"),4)</f>
        <v>4</v>
      </c>
      <c r="J92" s="142">
        <f ca="1">IFERROR(__xludf.DUMMYFUNCTION("IMPORTRANGE(""https://docs.google.com/spreadsheets/d/11923uPwbBZFjjGgGUA6NLw09EwE0CqkOc4q9oUmW1yo/edit?usp=sharing"",""อุตรดิตถ์!J32"")"),4)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IFERROR(__xludf.DUMMYFUNCTION("IMPORTRANGE(""https://docs.google.com/spreadsheets/d/11923uPwbBZFjjGgGUA6NLw09EwE0CqkOc4q9oUmW1yo/edit?usp=sharing"",""อุตรดิตถ์!I33"")"),1)</f>
        <v>1</v>
      </c>
      <c r="J93" s="142">
        <f ca="1">IFERROR(__xludf.DUMMYFUNCTION("IMPORTRANGE(""https://docs.google.com/spreadsheets/d/11923uPwbBZFjjGgGUA6NLw09EwE0CqkOc4q9oUmW1yo/edit?usp=sharing"",""อุตรดิตถ์!J33"")"),1)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176912.5</v>
      </c>
      <c r="O94" s="151">
        <f t="shared" ref="O94:O96" ca="1" si="53">IF(L94&gt;0,N94*100/L94,0)</f>
        <v>82.476689976689983</v>
      </c>
      <c r="P94" s="151">
        <f t="shared" ref="P94:P96" ca="1" si="54">IF(M94&gt;0,N94*100/M94,0)</f>
        <v>82.476689976689983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176912.5</v>
      </c>
      <c r="O96" s="156">
        <f t="shared" ca="1" si="53"/>
        <v>82.476689976689983</v>
      </c>
      <c r="P96" s="156">
        <f t="shared" ca="1" si="54"/>
        <v>82.476689976689983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IFERROR(__xludf.DUMMYFUNCTION("IMPORTRANGE(""https://docs.google.com/spreadsheets/d/1Yj_ptqi66GCucihVvJfMjLAmec39IyEx_6qawtMGysU/edit?usp=sharing"",""สบก!AR35"")"),122100)</f>
        <v>122100</v>
      </c>
      <c r="N98" s="168">
        <f ca="1">IFERROR(__xludf.DUMMYFUNCTION("IMPORTRANGE(""https://docs.google.com/spreadsheets/d/1Yj_ptqi66GCucihVvJfMjLAmec39IyEx_6qawtMGysU/edit?usp=sharing"",""สบก!AS35"")"),84512.5)</f>
        <v>84512.5</v>
      </c>
      <c r="O98" s="168">
        <f ca="1">IF(L98&gt;0,N98*100/L98,0)</f>
        <v>69.215806715806721</v>
      </c>
      <c r="P98" s="168">
        <f ca="1">IF(M98&gt;0,N98*100/M98,0)</f>
        <v>69.215806715806721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IFERROR(__xludf.DUMMYFUNCTION("IMPORTRANGE(""https://docs.google.com/spreadsheets/d/1Yj_ptqi66GCucihVvJfMjLAmec39IyEx_6qawtMGysU/edit?usp=sharing"",""สบก!AN35"")"),0)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IFERROR(__xludf.DUMMYFUNCTION("IMPORTRANGE(""https://docs.google.com/spreadsheets/d/1Yj_ptqi66GCucihVvJfMjLAmec39IyEx_6qawtMGysU/edit?usp=sharing"",""สบก!AO35"")"),122100)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IFERROR(__xludf.DUMMYFUNCTION("IMPORTRANGE(""https://docs.google.com/spreadsheets/d/1Yj_ptqi66GCucihVvJfMjLAmec39IyEx_6qawtMGysU/edit?usp=sharing"",""สบก!AP35"")"),92400)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IFERROR(__xludf.DUMMYFUNCTION("IMPORTRANGE(""https://docs.google.com/spreadsheets/d/1Yj_ptqi66GCucihVvJfMjLAmec39IyEx_6qawtMGysU/edit?usp=sharing"",""สบก!AT35"")"),92400)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IFERROR(__xludf.DUMMYFUNCTION("IMPORTRANGE(""https://docs.google.com/spreadsheets/d/11923uPwbBZFjjGgGUA6NLw09EwE0CqkOc4q9oUmW1yo/edit?usp=sharing"",""อุตรดิตถ์!J39"")"),0)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IFERROR(__xludf.DUMMYFUNCTION("IMPORTRANGE(""https://docs.google.com/spreadsheets/d/11923uPwbBZFjjGgGUA6NLw09EwE0CqkOc4q9oUmW1yo/edit?usp=sharing"",""อุตรดิตถ์!J40"")"),1)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IFERROR(__xludf.DUMMYFUNCTION("IMPORTRANGE(""https://docs.google.com/spreadsheets/d/11923uPwbBZFjjGgGUA6NLw09EwE0CqkOc4q9oUmW1yo/edit?usp=sharing"",""อุตรดิตถ์!J41"")"),1)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IFERROR(__xludf.DUMMYFUNCTION("IMPORTRANGE(""https://docs.google.com/spreadsheets/d/11923uPwbBZFjjGgGUA6NLw09EwE0CqkOc4q9oUmW1yo/edit?usp=sharing"",""อุตรดิตถ์!J42"")"),1)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IFERROR(__xludf.DUMMYFUNCTION("IMPORTRANGE(""https://docs.google.com/spreadsheets/d/11923uPwbBZFjjGgGUA6NLw09EwE0CqkOc4q9oUmW1yo/edit?usp=sharing"",""อุตรดิตถ์!I43"")"),1)</f>
        <v>1</v>
      </c>
      <c r="J108" s="203">
        <f ca="1">IFERROR(__xludf.DUMMYFUNCTION("IMPORTRANGE(""https://docs.google.com/spreadsheets/d/11923uPwbBZFjjGgGUA6NLw09EwE0CqkOc4q9oUmW1yo/edit?usp=sharing"",""อุตรดิตถ์!J43"")"),1)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IFERROR(__xludf.DUMMYFUNCTION("IMPORTRANGE(""https://docs.google.com/spreadsheets/d/11923uPwbBZFjjGgGUA6NLw09EwE0CqkOc4q9oUmW1yo/edit?usp=sharing"",""อุตรดิตถ์!I44"")"),4)</f>
        <v>4</v>
      </c>
      <c r="J109" s="203">
        <f ca="1">IFERROR(__xludf.DUMMYFUNCTION("IMPORTRANGE(""https://docs.google.com/spreadsheets/d/11923uPwbBZFjjGgGUA6NLw09EwE0CqkOc4q9oUmW1yo/edit?usp=sharing"",""อุตรดิตถ์!J44"")"),4)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IFERROR(__xludf.DUMMYFUNCTION("IMPORTRANGE(""https://docs.google.com/spreadsheets/d/11923uPwbBZFjjGgGUA6NLw09EwE0CqkOc4q9oUmW1yo/edit?usp=sharing"",""อุตรดิตถ์!I45"")"),4)</f>
        <v>4</v>
      </c>
      <c r="J110" s="203">
        <f ca="1">IFERROR(__xludf.DUMMYFUNCTION("IMPORTRANGE(""https://docs.google.com/spreadsheets/d/11923uPwbBZFjjGgGUA6NLw09EwE0CqkOc4q9oUmW1yo/edit?usp=sharing"",""อุตรดิตถ์!J45"")"),4)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IFERROR(__xludf.DUMMYFUNCTION("IMPORTRANGE(""https://docs.google.com/spreadsheets/d/11923uPwbBZFjjGgGUA6NLw09EwE0CqkOc4q9oUmW1yo/edit?usp=sharing"",""อุตรดิตถ์!I46"")"),4)</f>
        <v>4</v>
      </c>
      <c r="J111" s="203">
        <f ca="1">IFERROR(__xludf.DUMMYFUNCTION("IMPORTRANGE(""https://docs.google.com/spreadsheets/d/11923uPwbBZFjjGgGUA6NLw09EwE0CqkOc4q9oUmW1yo/edit?usp=sharing"",""อุตรดิตถ์!J46"")"),4)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IFERROR(__xludf.DUMMYFUNCTION("IMPORTRANGE(""https://docs.google.com/spreadsheets/d/11923uPwbBZFjjGgGUA6NLw09EwE0CqkOc4q9oUmW1yo/edit?usp=sharing"",""อุตรดิตถ์!I47"")"),4)</f>
        <v>4</v>
      </c>
      <c r="J112" s="203">
        <f ca="1">IFERROR(__xludf.DUMMYFUNCTION("IMPORTRANGE(""https://docs.google.com/spreadsheets/d/11923uPwbBZFjjGgGUA6NLw09EwE0CqkOc4q9oUmW1yo/edit?usp=sharing"",""อุตรดิตถ์!J47"")"),4)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IFERROR(__xludf.DUMMYFUNCTION("IMPORTRANGE(""https://docs.google.com/spreadsheets/d/11923uPwbBZFjjGgGUA6NLw09EwE0CqkOc4q9oUmW1yo/edit?usp=sharing"",""อุตรดิตถ์!I48"")"),1)</f>
        <v>1</v>
      </c>
      <c r="J113" s="203">
        <f ca="1">IFERROR(__xludf.DUMMYFUNCTION("IMPORTRANGE(""https://docs.google.com/spreadsheets/d/11923uPwbBZFjjGgGUA6NLw09EwE0CqkOc4q9oUmW1yo/edit?usp=sharing"",""อุตรดิตถ์!J48"")"),1)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IFERROR(__xludf.DUMMYFUNCTION("IMPORTRANGE(""https://docs.google.com/spreadsheets/d/11923uPwbBZFjjGgGUA6NLw09EwE0CqkOc4q9oUmW1yo/edit?usp=sharing"",""อุตรดิตถ์!J49"")"),0)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IFERROR(__xludf.DUMMYFUNCTION("IMPORTRANGE(""https://docs.google.com/spreadsheets/d/11923uPwbBZFjjGgGUA6NLw09EwE0CqkOc4q9oUmW1yo/edit?usp=sharing"",""อุตรดิตถ์!J50"")"),0)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IFERROR(__xludf.DUMMYFUNCTION("IMPORTRANGE(""https://docs.google.com/spreadsheets/d/11923uPwbBZFjjGgGUA6NLw09EwE0CqkOc4q9oUmW1yo/edit?usp=sharing"",""อุตรดิตถ์!I52"")"),20)</f>
        <v>20</v>
      </c>
      <c r="J117" s="142">
        <f ca="1">IFERROR(__xludf.DUMMYFUNCTION("IMPORTRANGE(""https://docs.google.com/spreadsheets/d/11923uPwbBZFjjGgGUA6NLw09EwE0CqkOc4q9oUmW1yo/edit?usp=sharing"",""อุตรดิตถ์!J52"")"),20)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75886.600000000006</v>
      </c>
      <c r="O118" s="151">
        <f t="shared" ref="O118:O120" ca="1" si="59">IF(L118&gt;0,N118*100/L118,0)</f>
        <v>92.050703541969924</v>
      </c>
      <c r="P118" s="151">
        <f t="shared" ref="P118:P120" ca="1" si="60">IF(M118&gt;0,N118*100/M118,0)</f>
        <v>92.050703541969924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75886.600000000006</v>
      </c>
      <c r="O120" s="156">
        <f t="shared" ca="1" si="59"/>
        <v>92.050703541969924</v>
      </c>
      <c r="P120" s="156">
        <f t="shared" ca="1" si="60"/>
        <v>92.050703541969924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IFERROR(__xludf.DUMMYFUNCTION("IMPORTRANGE(""https://docs.google.com/spreadsheets/d/1Yj_ptqi66GCucihVvJfMjLAmec39IyEx_6qawtMGysU/edit?usp=sharing"",""สบก!BA35"")"),82440)</f>
        <v>82440</v>
      </c>
      <c r="N122" s="168">
        <f ca="1">IFERROR(__xludf.DUMMYFUNCTION("IMPORTRANGE(""https://docs.google.com/spreadsheets/d/1Yj_ptqi66GCucihVvJfMjLAmec39IyEx_6qawtMGysU/edit?usp=sharing"",""สบก!BB35"")"),75886.6)</f>
        <v>75886.600000000006</v>
      </c>
      <c r="O122" s="168">
        <f ca="1">IF(L122&gt;0,N122*100/L122,0)</f>
        <v>92.050703541969924</v>
      </c>
      <c r="P122" s="168">
        <f ca="1">IF(M122&gt;0,N122*100/M122,0)</f>
        <v>92.050703541969924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IFERROR(__xludf.DUMMYFUNCTION("IMPORTRANGE(""https://docs.google.com/spreadsheets/d/1Yj_ptqi66GCucihVvJfMjLAmec39IyEx_6qawtMGysU/edit?usp=sharing"",""สบก!AW35"")"),0)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IFERROR(__xludf.DUMMYFUNCTION("IMPORTRANGE(""https://docs.google.com/spreadsheets/d/1Yj_ptqi66GCucihVvJfMjLAmec39IyEx_6qawtMGysU/edit?usp=sharing"",""สบก!AX35"")"),82440)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IFERROR(__xludf.DUMMYFUNCTION("IMPORTRANGE(""https://docs.google.com/spreadsheets/d/1Yj_ptqi66GCucihVvJfMjLAmec39IyEx_6qawtMGysU/edit?usp=sharing"",""สบก!AY35"")"),0)</f>
        <v>0</v>
      </c>
      <c r="M126" s="50"/>
      <c r="N126" s="50">
        <f ca="1">IFERROR(__xludf.DUMMYFUNCTION("IMPORTRANGE(""https://docs.google.com/spreadsheets/d/1Yj_ptqi66GCucihVvJfMjLAmec39IyEx_6qawtMGysU/edit?usp=sharing"",""สบก!BC35"")"),0)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291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IFERROR(__xludf.DUMMYFUNCTION("IMPORTRANGE(""https://docs.google.com/spreadsheets/d/11923uPwbBZFjjGgGUA6NLw09EwE0CqkOc4q9oUmW1yo/edit?usp=sharing"",""อุตรดิตถ์!J58"")"),0)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IFERROR(__xludf.DUMMYFUNCTION("IMPORTRANGE(""https://docs.google.com/spreadsheets/d/11923uPwbBZFjjGgGUA6NLw09EwE0CqkOc4q9oUmW1yo/edit?usp=sharing"",""อุตรดิตถ์!J59"")"),1)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IFERROR(__xludf.DUMMYFUNCTION("IMPORTRANGE(""https://docs.google.com/spreadsheets/d/11923uPwbBZFjjGgGUA6NLw09EwE0CqkOc4q9oUmW1yo/edit?usp=sharing"",""อุตรดิตถ์!J60"")"),1)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IFERROR(__xludf.DUMMYFUNCTION("IMPORTRANGE(""https://docs.google.com/spreadsheets/d/11923uPwbBZFjjGgGUA6NLw09EwE0CqkOc4q9oUmW1yo/edit?usp=sharing"",""อุตรดิตถ์!J61"")"),1)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IFERROR(__xludf.DUMMYFUNCTION("IMPORTRANGE(""https://docs.google.com/spreadsheets/d/11923uPwbBZFjjGgGUA6NLw09EwE0CqkOc4q9oUmW1yo/edit?usp=sharing"",""อุตรดิตถ์!I62"")"),20)</f>
        <v>20</v>
      </c>
      <c r="J132" s="203">
        <f ca="1">IFERROR(__xludf.DUMMYFUNCTION("IMPORTRANGE(""https://docs.google.com/spreadsheets/d/11923uPwbBZFjjGgGUA6NLw09EwE0CqkOc4q9oUmW1yo/edit?usp=sharing"",""อุตรดิตถ์!J62"")"),20)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IFERROR(__xludf.DUMMYFUNCTION("IMPORTRANGE(""https://docs.google.com/spreadsheets/d/11923uPwbBZFjjGgGUA6NLw09EwE0CqkOc4q9oUmW1yo/edit?usp=sharing"",""อุตรดิตถ์!I63"")"),20)</f>
        <v>20</v>
      </c>
      <c r="J133" s="203">
        <f ca="1">IFERROR(__xludf.DUMMYFUNCTION("IMPORTRANGE(""https://docs.google.com/spreadsheets/d/11923uPwbBZFjjGgGUA6NLw09EwE0CqkOc4q9oUmW1yo/edit?usp=sharing"",""อุตรดิตถ์!J63"")"),20)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IFERROR(__xludf.DUMMYFUNCTION("IMPORTRANGE(""https://docs.google.com/spreadsheets/d/11923uPwbBZFjjGgGUA6NLw09EwE0CqkOc4q9oUmW1yo/edit?usp=sharing"",""อุตรดิตถ์!J64"")"),0)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IFERROR(__xludf.DUMMYFUNCTION("IMPORTRANGE(""https://docs.google.com/spreadsheets/d/11923uPwbBZFjjGgGUA6NLw09EwE0CqkOc4q9oUmW1yo/edit?usp=sharing"",""อุตรดิตถ์!J65"")"),0)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IFERROR(__xludf.DUMMYFUNCTION("IMPORTRANGE(""https://docs.google.com/spreadsheets/d/11923uPwbBZFjjGgGUA6NLw09EwE0CqkOc4q9oUmW1yo/edit?usp=sharing"",""อุตรดิตถ์!I68"")"),0)</f>
        <v>0</v>
      </c>
      <c r="J138" s="267">
        <f ca="1">IFERROR(__xludf.DUMMYFUNCTION("IMPORTRANGE(""https://docs.google.com/spreadsheets/d/11923uPwbBZFjjGgGUA6NLw09EwE0CqkOc4q9oUmW1yo/edit?usp=sharing"",""อุตรดิตถ์!J68"")"),0)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133100</v>
      </c>
      <c r="N140" s="152">
        <f t="shared" ca="1" si="64"/>
        <v>80152.100000000006</v>
      </c>
      <c r="O140" s="151">
        <f t="shared" ref="O140:O142" ca="1" si="65">IF(L140&gt;0,N140*100/L140,0)</f>
        <v>101.45835443037976</v>
      </c>
      <c r="P140" s="151">
        <f t="shared" ref="P140:P142" ca="1" si="66">IF(M140&gt;0,N140*100/M140,0)</f>
        <v>60.219459053343357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79000</v>
      </c>
      <c r="M142" s="88">
        <f t="shared" ca="1" si="68"/>
        <v>133100</v>
      </c>
      <c r="N142" s="88">
        <f t="shared" ca="1" si="68"/>
        <v>80152.100000000006</v>
      </c>
      <c r="O142" s="156">
        <f t="shared" ca="1" si="65"/>
        <v>101.45835443037976</v>
      </c>
      <c r="P142" s="156">
        <f t="shared" ca="1" si="66"/>
        <v>60.219459053343357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79000</v>
      </c>
      <c r="M144" s="167">
        <f ca="1">IFERROR(__xludf.DUMMYFUNCTION("IMPORTRANGE(""https://docs.google.com/spreadsheets/d/1Yj_ptqi66GCucihVvJfMjLAmec39IyEx_6qawtMGysU/edit?usp=sharing"",""สบก!BJ35"")"),133100)</f>
        <v>133100</v>
      </c>
      <c r="N144" s="168">
        <f ca="1">IFERROR(__xludf.DUMMYFUNCTION("IMPORTRANGE(""https://docs.google.com/spreadsheets/d/1Yj_ptqi66GCucihVvJfMjLAmec39IyEx_6qawtMGysU/edit?usp=sharing"",""สบก!BK35"")"),80152.1)</f>
        <v>80152.100000000006</v>
      </c>
      <c r="O144" s="168">
        <f ca="1">IF(L144&gt;0,N144*100/L144,0)</f>
        <v>101.45835443037976</v>
      </c>
      <c r="P144" s="168">
        <f ca="1">IF(M144&gt;0,N144*100/M144,0)</f>
        <v>60.219459053343357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IFERROR(__xludf.DUMMYFUNCTION("IMPORTRANGE(""https://docs.google.com/spreadsheets/d/1Yj_ptqi66GCucihVvJfMjLAmec39IyEx_6qawtMGysU/edit?usp=sharing"",""สบก!BF35"")"),0)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IFERROR(__xludf.DUMMYFUNCTION("IMPORTRANGE(""https://docs.google.com/spreadsheets/d/1Yj_ptqi66GCucihVvJfMjLAmec39IyEx_6qawtMGysU/edit?usp=sharing"",""สบก!BG35"")"),79000)</f>
        <v>79000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IFERROR(__xludf.DUMMYFUNCTION("IMPORTRANGE(""https://docs.google.com/spreadsheets/d/1Yj_ptqi66GCucihVvJfMjLAmec39IyEx_6qawtMGysU/edit?usp=sharing"",""สบก!BH35"")"),0)</f>
        <v>0</v>
      </c>
      <c r="M148" s="50"/>
      <c r="N148" s="50">
        <f ca="1">IFERROR(__xludf.DUMMYFUNCTION("IMPORTRANGE(""https://docs.google.com/spreadsheets/d/1Yj_ptqi66GCucihVvJfMjLAmec39IyEx_6qawtMGysU/edit?usp=sharing"",""สบก!BL35"")"),0)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IFERROR(__xludf.DUMMYFUNCTION("IMPORTRANGE(""https://docs.google.com/spreadsheets/d/11923uPwbBZFjjGgGUA6NLw09EwE0CqkOc4q9oUmW1yo/edit?usp=sharing"",""อุตรดิตถ์!I74"")"),4)</f>
        <v>4</v>
      </c>
      <c r="J149" s="275">
        <f ca="1">IFERROR(__xludf.DUMMYFUNCTION("IMPORTRANGE(""https://docs.google.com/spreadsheets/d/11923uPwbBZFjjGgGUA6NLw09EwE0CqkOc4q9oUmW1yo/edit?usp=sharing"",""อุตรดิตถ์!J74"")"),3)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IFERROR(__xludf.DUMMYFUNCTION("IMPORTRANGE(""https://docs.google.com/spreadsheets/d/11923uPwbBZFjjGgGUA6NLw09EwE0CqkOc4q9oUmW1yo/edit?usp=sharing"",""อุตรดิตถ์!J79"")"),0)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IFERROR(__xludf.DUMMYFUNCTION("IMPORTRANGE(""https://docs.google.com/spreadsheets/d/11923uPwbBZFjjGgGUA6NLw09EwE0CqkOc4q9oUmW1yo/edit?usp=sharing"",""อุตรดิตถ์!J80"")"),1)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IFERROR(__xludf.DUMMYFUNCTION("IMPORTRANGE(""https://docs.google.com/spreadsheets/d/11923uPwbBZFjjGgGUA6NLw09EwE0CqkOc4q9oUmW1yo/edit?usp=sharing"",""อุตรดิตถ์!J81"")"),1)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IFERROR(__xludf.DUMMYFUNCTION("IMPORTRANGE(""https://docs.google.com/spreadsheets/d/11923uPwbBZFjjGgGUA6NLw09EwE0CqkOc4q9oUmW1yo/edit?usp=sharing"",""อุตรดิตถ์!J82"")"),1)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IFERROR(__xludf.DUMMYFUNCTION("IMPORTRANGE(""https://docs.google.com/spreadsheets/d/11923uPwbBZFjjGgGUA6NLw09EwE0CqkOc4q9oUmW1yo/edit?usp=sharing"",""อุตรดิตถ์!I83"")"),4)</f>
        <v>4</v>
      </c>
      <c r="J158" s="188">
        <f ca="1">IFERROR(__xludf.DUMMYFUNCTION("IMPORTRANGE(""https://docs.google.com/spreadsheets/d/11923uPwbBZFjjGgGUA6NLw09EwE0CqkOc4q9oUmW1yo/edit?usp=sharing"",""อุตรดิตถ์!J83"")"),3)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IFERROR(__xludf.DUMMYFUNCTION("IMPORTRANGE(""https://docs.google.com/spreadsheets/d/11923uPwbBZFjjGgGUA6NLw09EwE0CqkOc4q9oUmW1yo/edit?usp=sharing"",""อุตรดิตถ์!J84"")"),115)</f>
        <v>115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IFERROR(__xludf.DUMMYFUNCTION("IMPORTRANGE(""https://docs.google.com/spreadsheets/d/11923uPwbBZFjjGgGUA6NLw09EwE0CqkOc4q9oUmW1yo/edit?usp=sharing"",""อุตรดิตถ์!J85"")"),115)</f>
        <v>115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IFERROR(__xludf.DUMMYFUNCTION("IMPORTRANGE(""https://docs.google.com/spreadsheets/d/11923uPwbBZFjjGgGUA6NLw09EwE0CqkOc4q9oUmW1yo/edit?usp=sharing"",""อุตรดิตถ์!J86"")"),0)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IFERROR(__xludf.DUMMYFUNCTION("IMPORTRANGE(""https://docs.google.com/spreadsheets/d/11923uPwbBZFjjGgGUA6NLw09EwE0CqkOc4q9oUmW1yo/edit?usp=sharing"",""อุตรดิตถ์!J87"")"),0)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IFERROR(__xludf.DUMMYFUNCTION("IMPORTRANGE(""https://docs.google.com/spreadsheets/d/11923uPwbBZFjjGgGUA6NLw09EwE0CqkOc4q9oUmW1yo/edit?usp=sharing"",""อุตรดิตถ์!J88"")"),0)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IFERROR(__xludf.DUMMYFUNCTION("IMPORTRANGE(""https://docs.google.com/spreadsheets/d/11923uPwbBZFjjGgGUA6NLw09EwE0CqkOc4q9oUmW1yo/edit?usp=sharing"",""อุตรดิตถ์!I89"")"),3)</f>
        <v>3</v>
      </c>
      <c r="J164" s="284">
        <f ca="1">IFERROR(__xludf.DUMMYFUNCTION("IMPORTRANGE(""https://docs.google.com/spreadsheets/d/11923uPwbBZFjjGgGUA6NLw09EwE0CqkOc4q9oUmW1yo/edit?usp=sharing"",""อุตรดิตถ์!J89"")"),3)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IFERROR(__xludf.DUMMYFUNCTION("IMPORTRANGE(""https://docs.google.com/spreadsheets/d/11923uPwbBZFjjGgGUA6NLw09EwE0CqkOc4q9oUmW1yo/edit?usp=sharing"",""อุตรดิตถ์!J94"")"),0)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IFERROR(__xludf.DUMMYFUNCTION("IMPORTRANGE(""https://docs.google.com/spreadsheets/d/11923uPwbBZFjjGgGUA6NLw09EwE0CqkOc4q9oUmW1yo/edit?usp=sharing"",""อุตรดิตถ์!J95"")"),0)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IFERROR(__xludf.DUMMYFUNCTION("IMPORTRANGE(""https://docs.google.com/spreadsheets/d/11923uPwbBZFjjGgGUA6NLw09EwE0CqkOc4q9oUmW1yo/edit?usp=sharing"",""อุตรดิตถ์!J96"")"),0)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IFERROR(__xludf.DUMMYFUNCTION("IMPORTRANGE(""https://docs.google.com/spreadsheets/d/11923uPwbBZFjjGgGUA6NLw09EwE0CqkOc4q9oUmW1yo/edit?usp=sharing"",""อุตรดิตถ์!J97"")"),1)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IFERROR(__xludf.DUMMYFUNCTION("IMPORTRANGE(""https://docs.google.com/spreadsheets/d/11923uPwbBZFjjGgGUA6NLw09EwE0CqkOc4q9oUmW1yo/edit?usp=sharing"",""อุตรดิตถ์!I98"")"),3)</f>
        <v>3</v>
      </c>
      <c r="J173" s="188">
        <f ca="1">IFERROR(__xludf.DUMMYFUNCTION("IMPORTRANGE(""https://docs.google.com/spreadsheets/d/11923uPwbBZFjjGgGUA6NLw09EwE0CqkOc4q9oUmW1yo/edit?usp=sharing"",""อุตรดิตถ์!J98"")"),3)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IFERROR(__xludf.DUMMYFUNCTION("IMPORTRANGE(""https://docs.google.com/spreadsheets/d/11923uPwbBZFjjGgGUA6NLw09EwE0CqkOc4q9oUmW1yo/edit?usp=sharing"",""อุตรดิตถ์!J99"")"),0)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IFERROR(__xludf.DUMMYFUNCTION("IMPORTRANGE(""https://docs.google.com/spreadsheets/d/11923uPwbBZFjjGgGUA6NLw09EwE0CqkOc4q9oUmW1yo/edit?usp=sharing"",""อุตรดิตถ์!J100"")"),1)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IFERROR(__xludf.DUMMYFUNCTION("IMPORTRANGE(""https://docs.google.com/spreadsheets/d/11923uPwbBZFjjGgGUA6NLw09EwE0CqkOc4q9oUmW1yo/edit?usp=sharing"",""อุตรดิตถ์!I101"")"),1)</f>
        <v>1</v>
      </c>
      <c r="J176" s="284">
        <f ca="1">IFERROR(__xludf.DUMMYFUNCTION("IMPORTRANGE(""https://docs.google.com/spreadsheets/d/11923uPwbBZFjjGgGUA6NLw09EwE0CqkOc4q9oUmW1yo/edit?usp=sharing"",""อุตรดิตถ์!J101"")"),1)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IFERROR(__xludf.DUMMYFUNCTION("IMPORTRANGE(""https://docs.google.com/spreadsheets/d/11923uPwbBZFjjGgGUA6NLw09EwE0CqkOc4q9oUmW1yo/edit?usp=sharing"",""อุตรดิตถ์!J106"")"),0)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IFERROR(__xludf.DUMMYFUNCTION("IMPORTRANGE(""https://docs.google.com/spreadsheets/d/11923uPwbBZFjjGgGUA6NLw09EwE0CqkOc4q9oUmW1yo/edit?usp=sharing"",""อุตรดิตถ์!J107"")"),0)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IFERROR(__xludf.DUMMYFUNCTION("IMPORTRANGE(""https://docs.google.com/spreadsheets/d/11923uPwbBZFjjGgGUA6NLw09EwE0CqkOc4q9oUmW1yo/edit?usp=sharing"",""อุตรดิตถ์!J108"")"),0)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IFERROR(__xludf.DUMMYFUNCTION("IMPORTRANGE(""https://docs.google.com/spreadsheets/d/11923uPwbBZFjjGgGUA6NLw09EwE0CqkOc4q9oUmW1yo/edit?usp=sharing"",""อุตรดิตถ์!J109"")"),0)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IFERROR(__xludf.DUMMYFUNCTION("IMPORTRANGE(""https://docs.google.com/spreadsheets/d/11923uPwbBZFjjGgGUA6NLw09EwE0CqkOc4q9oUmW1yo/edit?usp=sharing"",""อุตรดิตถ์!I110"")"),1)</f>
        <v>1</v>
      </c>
      <c r="J185" s="203">
        <f ca="1">IFERROR(__xludf.DUMMYFUNCTION("IMPORTRANGE(""https://docs.google.com/spreadsheets/d/11923uPwbBZFjjGgGUA6NLw09EwE0CqkOc4q9oUmW1yo/edit?usp=sharing"",""อุตรดิตถ์!J110"")"),1)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IFERROR(__xludf.DUMMYFUNCTION("IMPORTRANGE(""https://docs.google.com/spreadsheets/d/11923uPwbBZFjjGgGUA6NLw09EwE0CqkOc4q9oUmW1yo/edit?usp=sharing"",""อุตรดิตถ์!I111"")"),1)</f>
        <v>1</v>
      </c>
      <c r="J186" s="203">
        <f ca="1">IFERROR(__xludf.DUMMYFUNCTION("IMPORTRANGE(""https://docs.google.com/spreadsheets/d/11923uPwbBZFjjGgGUA6NLw09EwE0CqkOc4q9oUmW1yo/edit?usp=sharing"",""อุตรดิตถ์!J111"")"),1)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IFERROR(__xludf.DUMMYFUNCTION("IMPORTRANGE(""https://docs.google.com/spreadsheets/d/11923uPwbBZFjjGgGUA6NLw09EwE0CqkOc4q9oUmW1yo/edit?usp=sharing"",""อุตรดิตถ์!J112"")"),0)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IFERROR(__xludf.DUMMYFUNCTION("IMPORTRANGE(""https://docs.google.com/spreadsheets/d/11923uPwbBZFjjGgGUA6NLw09EwE0CqkOc4q9oUmW1yo/edit?usp=sharing"",""อุตรดิตถ์!J113"")"),1)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IFERROR(__xludf.DUMMYFUNCTION("IMPORTRANGE(""https://docs.google.com/spreadsheets/d/11923uPwbBZFjjGgGUA6NLw09EwE0CqkOc4q9oUmW1yo/edit?usp=sharing"",""อุตรดิตถ์!I114"")"),30000)</f>
        <v>30000</v>
      </c>
      <c r="J189" s="284">
        <f ca="1">IFERROR(__xludf.DUMMYFUNCTION("IMPORTRANGE(""https://docs.google.com/spreadsheets/d/11923uPwbBZFjjGgGUA6NLw09EwE0CqkOc4q9oUmW1yo/edit?usp=sharing"",""อุตรดิตถ์!J114"")"),0)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IFERROR(__xludf.DUMMYFUNCTION("IMPORTRANGE(""https://docs.google.com/spreadsheets/d/11923uPwbBZFjjGgGUA6NLw09EwE0CqkOc4q9oUmW1yo/edit?usp=sharing"",""อุตรดิตถ์!J119"")"),0)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IFERROR(__xludf.DUMMYFUNCTION("IMPORTRANGE(""https://docs.google.com/spreadsheets/d/11923uPwbBZFjjGgGUA6NLw09EwE0CqkOc4q9oUmW1yo/edit?usp=sharing"",""อุตรดิตถ์!J120"")"),1)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IFERROR(__xludf.DUMMYFUNCTION("IMPORTRANGE(""https://docs.google.com/spreadsheets/d/11923uPwbBZFjjGgGUA6NLw09EwE0CqkOc4q9oUmW1yo/edit?usp=sharing"",""อุตรดิตถ์!J121"")"),1)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IFERROR(__xludf.DUMMYFUNCTION("IMPORTRANGE(""https://docs.google.com/spreadsheets/d/11923uPwbBZFjjGgGUA6NLw09EwE0CqkOc4q9oUmW1yo/edit?usp=sharing"",""อุตรดิตถ์!J122"")"),1)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IFERROR(__xludf.DUMMYFUNCTION("IMPORTRANGE(""https://docs.google.com/spreadsheets/d/11923uPwbBZFjjGgGUA6NLw09EwE0CqkOc4q9oUmW1yo/edit?usp=sharing"",""อุตรดิตถ์!I124"")"),30000)</f>
        <v>30000</v>
      </c>
      <c r="J199" s="188">
        <f ca="1">IFERROR(__xludf.DUMMYFUNCTION("IMPORTRANGE(""https://docs.google.com/spreadsheets/d/11923uPwbBZFjjGgGUA6NLw09EwE0CqkOc4q9oUmW1yo/edit?usp=sharing"",""อุตรดิตถ์!J124"")"),30000)</f>
        <v>30000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IFERROR(__xludf.DUMMYFUNCTION("IMPORTRANGE(""https://docs.google.com/spreadsheets/d/11923uPwbBZFjjGgGUA6NLw09EwE0CqkOc4q9oUmW1yo/edit?usp=sharing"",""อุตรดิตถ์!I125"")"),30000)</f>
        <v>30000</v>
      </c>
      <c r="J200" s="188">
        <f ca="1">IFERROR(__xludf.DUMMYFUNCTION("IMPORTRANGE(""https://docs.google.com/spreadsheets/d/11923uPwbBZFjjGgGUA6NLw09EwE0CqkOc4q9oUmW1yo/edit?usp=sharing"",""อุตรดิตถ์!J125"")"),0)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IFERROR(__xludf.DUMMYFUNCTION("IMPORTRANGE(""https://docs.google.com/spreadsheets/d/11923uPwbBZFjjGgGUA6NLw09EwE0CqkOc4q9oUmW1yo/edit?usp=sharing"",""อุตรดิตถ์!I126"")"),0)</f>
        <v>0</v>
      </c>
      <c r="J201" s="188">
        <f ca="1">IFERROR(__xludf.DUMMYFUNCTION("IMPORTRANGE(""https://docs.google.com/spreadsheets/d/11923uPwbBZFjjGgGUA6NLw09EwE0CqkOc4q9oUmW1yo/edit?usp=sharing"",""อุตรดิตถ์!J126"")"),0)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IFERROR(__xludf.DUMMYFUNCTION("IMPORTRANGE(""https://docs.google.com/spreadsheets/d/11923uPwbBZFjjGgGUA6NLw09EwE0CqkOc4q9oUmW1yo/edit?usp=sharing"",""อุตรดิตถ์!J127"")"),0)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IFERROR(__xludf.DUMMYFUNCTION("IMPORTRANGE(""https://docs.google.com/spreadsheets/d/11923uPwbBZFjjGgGUA6NLw09EwE0CqkOc4q9oUmW1yo/edit?usp=sharing"",""อุตรดิตถ์!J128"")"),0)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IFERROR(__xludf.DUMMYFUNCTION("IMPORTRANGE(""https://docs.google.com/spreadsheets/d/11923uPwbBZFjjGgGUA6NLw09EwE0CqkOc4q9oUmW1yo/edit?usp=sharing"",""อุตรดิตถ์!I129"")"),0)</f>
        <v>0</v>
      </c>
      <c r="J204" s="284">
        <f ca="1">IFERROR(__xludf.DUMMYFUNCTION("IMPORTRANGE(""https://docs.google.com/spreadsheets/d/11923uPwbBZFjjGgGUA6NLw09EwE0CqkOc4q9oUmW1yo/edit?usp=sharing"",""อุตรดิตถ์!J129"")"),0)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IFERROR(__xludf.DUMMYFUNCTION("IMPORTRANGE(""https://docs.google.com/spreadsheets/d/11923uPwbBZFjjGgGUA6NLw09EwE0CqkOc4q9oUmW1yo/edit?usp=sharing"",""อุตรดิตถ์!J134"")"),0)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IFERROR(__xludf.DUMMYFUNCTION("IMPORTRANGE(""https://docs.google.com/spreadsheets/d/11923uPwbBZFjjGgGUA6NLw09EwE0CqkOc4q9oUmW1yo/edit?usp=sharing"",""อุตรดิตถ์!J135"")"),0)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IFERROR(__xludf.DUMMYFUNCTION("IMPORTRANGE(""https://docs.google.com/spreadsheets/d/11923uPwbBZFjjGgGUA6NLw09EwE0CqkOc4q9oUmW1yo/edit?usp=sharing"",""อุตรดิตถ์!J136"")"),0)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IFERROR(__xludf.DUMMYFUNCTION("IMPORTRANGE(""https://docs.google.com/spreadsheets/d/11923uPwbBZFjjGgGUA6NLw09EwE0CqkOc4q9oUmW1yo/edit?usp=sharing"",""อุตรดิตถ์!J137"")"),0)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IFERROR(__xludf.DUMMYFUNCTION("IMPORTRANGE(""https://docs.google.com/spreadsheets/d/11923uPwbBZFjjGgGUA6NLw09EwE0CqkOc4q9oUmW1yo/edit?usp=sharing"",""อุตรดิตถ์!I138"")"),0)</f>
        <v>0</v>
      </c>
      <c r="J213" s="203">
        <f ca="1">IFERROR(__xludf.DUMMYFUNCTION("IMPORTRANGE(""https://docs.google.com/spreadsheets/d/11923uPwbBZFjjGgGUA6NLw09EwE0CqkOc4q9oUmW1yo/edit?usp=sharing"",""อุตรดิตถ์!J138"")"),0)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IFERROR(__xludf.DUMMYFUNCTION("IMPORTRANGE(""https://docs.google.com/spreadsheets/d/11923uPwbBZFjjGgGUA6NLw09EwE0CqkOc4q9oUmW1yo/edit?usp=sharing"",""อุตรดิตถ์!I140"")"),0)</f>
        <v>0</v>
      </c>
      <c r="J215" s="203">
        <f ca="1">IFERROR(__xludf.DUMMYFUNCTION("IMPORTRANGE(""https://docs.google.com/spreadsheets/d/11923uPwbBZFjjGgGUA6NLw09EwE0CqkOc4q9oUmW1yo/edit?usp=sharing"",""อุตรดิตถ์!J140"")"),0)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IFERROR(__xludf.DUMMYFUNCTION("IMPORTRANGE(""https://docs.google.com/spreadsheets/d/11923uPwbBZFjjGgGUA6NLw09EwE0CqkOc4q9oUmW1yo/edit?usp=sharing"",""อุตรดิตถ์!I141"")"),0)</f>
        <v>0</v>
      </c>
      <c r="J216" s="203">
        <f ca="1">IFERROR(__xludf.DUMMYFUNCTION("IMPORTRANGE(""https://docs.google.com/spreadsheets/d/11923uPwbBZFjjGgGUA6NLw09EwE0CqkOc4q9oUmW1yo/edit?usp=sharing"",""อุตรดิตถ์!J141"")"),0)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IFERROR(__xludf.DUMMYFUNCTION("IMPORTRANGE(""https://docs.google.com/spreadsheets/d/11923uPwbBZFjjGgGUA6NLw09EwE0CqkOc4q9oUmW1yo/edit?usp=sharing"",""อุตรดิตถ์!J142"")"),0)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IFERROR(__xludf.DUMMYFUNCTION("IMPORTRANGE(""https://docs.google.com/spreadsheets/d/11923uPwbBZFjjGgGUA6NLw09EwE0CqkOc4q9oUmW1yo/edit?usp=sharing"",""อุตรดิตถ์!J143"")"),0)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IFERROR(__xludf.DUMMYFUNCTION("IMPORTRANGE(""https://docs.google.com/spreadsheets/d/11923uPwbBZFjjGgGUA6NLw09EwE0CqkOc4q9oUmW1yo/edit?usp=sharing"",""อุตรดิตถ์!I144"")"),15)</f>
        <v>15</v>
      </c>
      <c r="J219" s="267">
        <f ca="1">IFERROR(__xludf.DUMMYFUNCTION("IMPORTRANGE(""https://docs.google.com/spreadsheets/d/11923uPwbBZFjjGgGUA6NLw09EwE0CqkOc4q9oUmW1yo/edit?usp=sharing"",""อุตรดิตถ์!J144"")"),15)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IFERROR(__xludf.DUMMYFUNCTION("IMPORTRANGE(""https://docs.google.com/spreadsheets/d/1Yj_ptqi66GCucihVvJfMjLAmec39IyEx_6qawtMGysU/edit?usp=sharing"",""สบก!BS35"")"),21125)</f>
        <v>21125</v>
      </c>
      <c r="N224" s="168">
        <f ca="1">IFERROR(__xludf.DUMMYFUNCTION("IMPORTRANGE(""https://docs.google.com/spreadsheets/d/1Yj_ptqi66GCucihVvJfMjLAmec39IyEx_6qawtMGysU/edit?usp=sharing"",""สบก!BT35"")"),21125)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IFERROR(__xludf.DUMMYFUNCTION("IMPORTRANGE(""https://docs.google.com/spreadsheets/d/1Yj_ptqi66GCucihVvJfMjLAmec39IyEx_6qawtMGysU/edit?usp=sharing"",""สบก!BO35"")"),0)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IFERROR(__xludf.DUMMYFUNCTION("IMPORTRANGE(""https://docs.google.com/spreadsheets/d/1Yj_ptqi66GCucihVvJfMjLAmec39IyEx_6qawtMGysU/edit?usp=sharing"",""สบก!BP35"")"),21125)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IFERROR(__xludf.DUMMYFUNCTION("IMPORTRANGE(""https://docs.google.com/spreadsheets/d/1Yj_ptqi66GCucihVvJfMjLAmec39IyEx_6qawtMGysU/edit?usp=sharing"",""สบก!BQ35"")"),0)</f>
        <v>0</v>
      </c>
      <c r="M228" s="50"/>
      <c r="N228" s="50">
        <f ca="1">IFERROR(__xludf.DUMMYFUNCTION("IMPORTRANGE(""https://docs.google.com/spreadsheets/d/1Yj_ptqi66GCucihVvJfMjLAmec39IyEx_6qawtMGysU/edit?usp=sharing"",""สบก!BU35"")"),0)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IFERROR(__xludf.DUMMYFUNCTION("IMPORTRANGE(""https://docs.google.com/spreadsheets/d/11923uPwbBZFjjGgGUA6NLw09EwE0CqkOc4q9oUmW1yo/edit?usp=sharing"",""อุตรดิตถ์!I149"")"),15)</f>
        <v>15</v>
      </c>
      <c r="J229" s="267">
        <f ca="1">IFERROR(__xludf.DUMMYFUNCTION("IMPORTRANGE(""https://docs.google.com/spreadsheets/d/11923uPwbBZFjjGgGUA6NLw09EwE0CqkOc4q9oUmW1yo/edit?usp=sharing"",""อุตรดิตถ์!J149"")"),15)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IFERROR(__xludf.DUMMYFUNCTION("IMPORTRANGE(""https://docs.google.com/spreadsheets/d/11923uPwbBZFjjGgGUA6NLw09EwE0CqkOc4q9oUmW1yo/edit?usp=sharing"",""อุตรดิตถ์!J151"")"),0)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IFERROR(__xludf.DUMMYFUNCTION("IMPORTRANGE(""https://docs.google.com/spreadsheets/d/11923uPwbBZFjjGgGUA6NLw09EwE0CqkOc4q9oUmW1yo/edit?usp=sharing"",""อุตรดิตถ์!J152"")"),0)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IFERROR(__xludf.DUMMYFUNCTION("IMPORTRANGE(""https://docs.google.com/spreadsheets/d/11923uPwbBZFjjGgGUA6NLw09EwE0CqkOc4q9oUmW1yo/edit?usp=sharing"",""อุตรดิตถ์!J153"")"),0)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IFERROR(__xludf.DUMMYFUNCTION("IMPORTRANGE(""https://docs.google.com/spreadsheets/d/11923uPwbBZFjjGgGUA6NLw09EwE0CqkOc4q9oUmW1yo/edit?usp=sharing"",""อุตรดิตถ์!J154"")"),0)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IFERROR(__xludf.DUMMYFUNCTION("IMPORTRANGE(""https://docs.google.com/spreadsheets/d/11923uPwbBZFjjGgGUA6NLw09EwE0CqkOc4q9oUmW1yo/edit?usp=sharing"",""อุตรดิตถ์!I155"")"),15)</f>
        <v>15</v>
      </c>
      <c r="J235" s="188">
        <f ca="1">IFERROR(__xludf.DUMMYFUNCTION("IMPORTRANGE(""https://docs.google.com/spreadsheets/d/11923uPwbBZFjjGgGUA6NLw09EwE0CqkOc4q9oUmW1yo/edit?usp=sharing"",""อุตรดิตถ์!J155"")"),15)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IFERROR(__xludf.DUMMYFUNCTION("IMPORTRANGE(""https://docs.google.com/spreadsheets/d/11923uPwbBZFjjGgGUA6NLw09EwE0CqkOc4q9oUmW1yo/edit?usp=sharing"",""อุตรดิตถ์!J156"")"),1)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IFERROR(__xludf.DUMMYFUNCTION("IMPORTRANGE(""https://docs.google.com/spreadsheets/d/11923uPwbBZFjjGgGUA6NLw09EwE0CqkOc4q9oUmW1yo/edit?usp=sharing"",""อุตรดิตถ์!J157"")"),1)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IFERROR(__xludf.DUMMYFUNCTION("IMPORTRANGE(""https://docs.google.com/spreadsheets/d/11923uPwbBZFjjGgGUA6NLw09EwE0CqkOc4q9oUmW1yo/edit?usp=sharing"",""อุตรดิตถ์!I158"")"),0)</f>
        <v>0</v>
      </c>
      <c r="J238" s="267">
        <f ca="1">IFERROR(__xludf.DUMMYFUNCTION("IMPORTRANGE(""https://docs.google.com/spreadsheets/d/11923uPwbBZFjjGgGUA6NLw09EwE0CqkOc4q9oUmW1yo/edit?usp=sharing"",""อุตรดิตถ์!J158"")"),0)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IFERROR(__xludf.DUMMYFUNCTION("IMPORTRANGE(""https://docs.google.com/spreadsheets/d/11923uPwbBZFjjGgGUA6NLw09EwE0CqkOc4q9oUmW1yo/edit?usp=sharing"",""อุตรดิตถ์!J159"")"),"")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IFERROR(__xludf.DUMMYFUNCTION("IMPORTRANGE(""https://docs.google.com/spreadsheets/d/11923uPwbBZFjjGgGUA6NLw09EwE0CqkOc4q9oUmW1yo/edit?usp=sharing"",""อุตรดิตถ์!J161"")"),0)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IFERROR(__xludf.DUMMYFUNCTION("IMPORTRANGE(""https://docs.google.com/spreadsheets/d/11923uPwbBZFjjGgGUA6NLw09EwE0CqkOc4q9oUmW1yo/edit?usp=sharing"",""อุตรดิตถ์!J162"")"),0)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IFERROR(__xludf.DUMMYFUNCTION("IMPORTRANGE(""https://docs.google.com/spreadsheets/d/11923uPwbBZFjjGgGUA6NLw09EwE0CqkOc4q9oUmW1yo/edit?usp=sharing"",""อุตรดิตถ์!J163"")"),0)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IFERROR(__xludf.DUMMYFUNCTION("IMPORTRANGE(""https://docs.google.com/spreadsheets/d/11923uPwbBZFjjGgGUA6NLw09EwE0CqkOc4q9oUmW1yo/edit?usp=sharing"",""อุตรดิตถ์!I164"")"),0)</f>
        <v>0</v>
      </c>
      <c r="J244" s="187">
        <f ca="1">IFERROR(__xludf.DUMMYFUNCTION("IMPORTRANGE(""https://docs.google.com/spreadsheets/d/11923uPwbBZFjjGgGUA6NLw09EwE0CqkOc4q9oUmW1yo/edit?usp=sharing"",""อุตรดิตถ์!J164"")"),0)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IFERROR(__xludf.DUMMYFUNCTION("IMPORTRANGE(""https://docs.google.com/spreadsheets/d/11923uPwbBZFjjGgGUA6NLw09EwE0CqkOc4q9oUmW1yo/edit?usp=sharing"",""อุตรดิตถ์!J165"")"),0)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IFERROR(__xludf.DUMMYFUNCTION("IMPORTRANGE(""https://docs.google.com/spreadsheets/d/11923uPwbBZFjjGgGUA6NLw09EwE0CqkOc4q9oUmW1yo/edit?usp=sharing"",""อุตรดิตถ์!J166"")"),0)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IFERROR(__xludf.DUMMYFUNCTION("IMPORTRANGE(""https://docs.google.com/spreadsheets/d/11923uPwbBZFjjGgGUA6NLw09EwE0CqkOc4q9oUmW1yo/edit?usp=sharing"",""อุตรดิตถ์!I169"")"),20)</f>
        <v>20</v>
      </c>
      <c r="J249" s="316">
        <f ca="1">IFERROR(__xludf.DUMMYFUNCTION("IMPORTRANGE(""https://docs.google.com/spreadsheets/d/11923uPwbBZFjjGgGUA6NLw09EwE0CqkOc4q9oUmW1yo/edit?usp=sharing"",""อุตรดิตถ์!J169"")"),20)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203400</v>
      </c>
      <c r="N250" s="152">
        <f t="shared" ca="1" si="77"/>
        <v>163360.76</v>
      </c>
      <c r="O250" s="151">
        <f t="shared" ref="O250:O252" ca="1" si="78">IF(L250&gt;0,N250*100/L250,0)</f>
        <v>80.315024582104229</v>
      </c>
      <c r="P250" s="151">
        <f t="shared" ref="P250:P252" ca="1" si="79">IF(M250&gt;0,N250*100/M250,0)</f>
        <v>80.315024582104229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203400</v>
      </c>
      <c r="N252" s="88">
        <f t="shared" ca="1" si="81"/>
        <v>163360.76</v>
      </c>
      <c r="O252" s="156">
        <f t="shared" ca="1" si="78"/>
        <v>80.315024582104229</v>
      </c>
      <c r="P252" s="156">
        <f t="shared" ca="1" si="79"/>
        <v>80.315024582104229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IFERROR(__xludf.DUMMYFUNCTION("IMPORTRANGE(""https://docs.google.com/spreadsheets/d/1Yj_ptqi66GCucihVvJfMjLAmec39IyEx_6qawtMGysU/edit?usp=sharing"",""สบก!CB35"")"),203400)</f>
        <v>203400</v>
      </c>
      <c r="N254" s="168">
        <f ca="1">IFERROR(__xludf.DUMMYFUNCTION("IMPORTRANGE(""https://docs.google.com/spreadsheets/d/1Yj_ptqi66GCucihVvJfMjLAmec39IyEx_6qawtMGysU/edit?usp=sharing"",""สบก!CC35"")"),163360.76)</f>
        <v>163360.76</v>
      </c>
      <c r="O254" s="168">
        <f ca="1">IF(L254&gt;0,N254*100/L254,0)</f>
        <v>80.315024582104229</v>
      </c>
      <c r="P254" s="168">
        <f ca="1">IF(M254&gt;0,N254*100/M254,0)</f>
        <v>80.315024582104229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IFERROR(__xludf.DUMMYFUNCTION("IMPORTRANGE(""https://docs.google.com/spreadsheets/d/1Yj_ptqi66GCucihVvJfMjLAmec39IyEx_6qawtMGysU/edit?usp=sharing"",""สบก!BX35"")"),132000)</f>
        <v>132000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IFERROR(__xludf.DUMMYFUNCTION("IMPORTRANGE(""https://docs.google.com/spreadsheets/d/1Yj_ptqi66GCucihVvJfMjLAmec39IyEx_6qawtMGysU/edit?usp=sharing"",""สบก!BY35"")"),71400)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IFERROR(__xludf.DUMMYFUNCTION("IMPORTRANGE(""https://docs.google.com/spreadsheets/d/1Yj_ptqi66GCucihVvJfMjLAmec39IyEx_6qawtMGysU/edit?usp=sharing"",""สบก!BZ35"")"),0)</f>
        <v>0</v>
      </c>
      <c r="M258" s="50"/>
      <c r="N258" s="50">
        <f ca="1">IFERROR(__xludf.DUMMYFUNCTION("IMPORTRANGE(""https://docs.google.com/spreadsheets/d/1Yj_ptqi66GCucihVvJfMjLAmec39IyEx_6qawtMGysU/edit?usp=sharing"",""สบก!CD35"")"),0)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IFERROR(__xludf.DUMMYFUNCTION("IMPORTRANGE(""https://docs.google.com/spreadsheets/d/11923uPwbBZFjjGgGUA6NLw09EwE0CqkOc4q9oUmW1yo/edit?usp=sharing"",""อุตรดิตถ์!J175"")"),0)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IFERROR(__xludf.DUMMYFUNCTION("IMPORTRANGE(""https://docs.google.com/spreadsheets/d/11923uPwbBZFjjGgGUA6NLw09EwE0CqkOc4q9oUmW1yo/edit?usp=sharing"",""อุตรดิตถ์!J176"")"),1)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IFERROR(__xludf.DUMMYFUNCTION("IMPORTRANGE(""https://docs.google.com/spreadsheets/d/11923uPwbBZFjjGgGUA6NLw09EwE0CqkOc4q9oUmW1yo/edit?usp=sharing"",""อุตรดิตถ์!J177"")"),1)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IFERROR(__xludf.DUMMYFUNCTION("IMPORTRANGE(""https://docs.google.com/spreadsheets/d/11923uPwbBZFjjGgGUA6NLw09EwE0CqkOc4q9oUmW1yo/edit?usp=sharing"",""อุตรดิตถ์!J178"")"),1)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IFERROR(__xludf.DUMMYFUNCTION("IMPORTRANGE(""https://docs.google.com/spreadsheets/d/11923uPwbBZFjjGgGUA6NLw09EwE0CqkOc4q9oUmW1yo/edit?usp=sharing"",""อุตรดิตถ์!I179"")"),1)</f>
        <v>1</v>
      </c>
      <c r="J264" s="188">
        <f ca="1">IFERROR(__xludf.DUMMYFUNCTION("IMPORTRANGE(""https://docs.google.com/spreadsheets/d/11923uPwbBZFjjGgGUA6NLw09EwE0CqkOc4q9oUmW1yo/edit?usp=sharing"",""อุตรดิตถ์!J179"")"),1)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IFERROR(__xludf.DUMMYFUNCTION("IMPORTRANGE(""https://docs.google.com/spreadsheets/d/11923uPwbBZFjjGgGUA6NLw09EwE0CqkOc4q9oUmW1yo/edit?usp=sharing"",""อุตรดิตถ์!I180"")"),20)</f>
        <v>20</v>
      </c>
      <c r="J265" s="188">
        <f ca="1">IFERROR(__xludf.DUMMYFUNCTION("IMPORTRANGE(""https://docs.google.com/spreadsheets/d/11923uPwbBZFjjGgGUA6NLw09EwE0CqkOc4q9oUmW1yo/edit?usp=sharing"",""อุตรดิตถ์!J180"")"),20)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IFERROR(__xludf.DUMMYFUNCTION("IMPORTRANGE(""https://docs.google.com/spreadsheets/d/11923uPwbBZFjjGgGUA6NLw09EwE0CqkOc4q9oUmW1yo/edit?usp=sharing"",""อุตรดิตถ์!I181"")"),20)</f>
        <v>20</v>
      </c>
      <c r="J266" s="188">
        <f ca="1">IFERROR(__xludf.DUMMYFUNCTION("IMPORTRANGE(""https://docs.google.com/spreadsheets/d/11923uPwbBZFjjGgGUA6NLw09EwE0CqkOc4q9oUmW1yo/edit?usp=sharing"",""อุตรดิตถ์!J181"")"),20)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IFERROR(__xludf.DUMMYFUNCTION("IMPORTRANGE(""https://docs.google.com/spreadsheets/d/11923uPwbBZFjjGgGUA6NLw09EwE0CqkOc4q9oUmW1yo/edit?usp=sharing"",""อุตรดิตถ์!I182"")"),1)</f>
        <v>1</v>
      </c>
      <c r="J267" s="188">
        <f ca="1">IFERROR(__xludf.DUMMYFUNCTION("IMPORTRANGE(""https://docs.google.com/spreadsheets/d/11923uPwbBZFjjGgGUA6NLw09EwE0CqkOc4q9oUmW1yo/edit?usp=sharing"",""อุตรดิตถ์!J182"")"),1)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IFERROR(__xludf.DUMMYFUNCTION("IMPORTRANGE(""https://docs.google.com/spreadsheets/d/11923uPwbBZFjjGgGUA6NLw09EwE0CqkOc4q9oUmW1yo/edit?usp=sharing"",""อุตรดิตถ์!J183"")"),0)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IFERROR(__xludf.DUMMYFUNCTION("IMPORTRANGE(""https://docs.google.com/spreadsheets/d/11923uPwbBZFjjGgGUA6NLw09EwE0CqkOc4q9oUmW1yo/edit?usp=sharing"",""อุตรดิตถ์!J184"")"),0)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IFERROR(__xludf.DUMMYFUNCTION("IMPORTRANGE(""https://docs.google.com/spreadsheets/d/11923uPwbBZFjjGgGUA6NLw09EwE0CqkOc4q9oUmW1yo/edit?usp=sharing"",""อุตรดิตถ์!I185"")"),0)</f>
        <v>0</v>
      </c>
      <c r="J270" s="316">
        <f ca="1">IFERROR(__xludf.DUMMYFUNCTION("IMPORTRANGE(""https://docs.google.com/spreadsheets/d/11923uPwbBZFjjGgGUA6NLw09EwE0CqkOc4q9oUmW1yo/edit?usp=sharing"",""อุตรดิตถ์!J185"")"),0)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IFERROR(__xludf.DUMMYFUNCTION("IMPORTRANGE(""https://docs.google.com/spreadsheets/d/1Yj_ptqi66GCucihVvJfMjLAmec39IyEx_6qawtMGysU/edit?usp=sharing"",""สบก!CK35"")"),0)</f>
        <v>0</v>
      </c>
      <c r="N275" s="168">
        <f ca="1">IFERROR(__xludf.DUMMYFUNCTION("IMPORTRANGE(""https://docs.google.com/spreadsheets/d/1Yj_ptqi66GCucihVvJfMjLAmec39IyEx_6qawtMGysU/edit?usp=sharing"",""สบก!CL35"")"),0)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IFERROR(__xludf.DUMMYFUNCTION("IMPORTRANGE(""https://docs.google.com/spreadsheets/d/1Yj_ptqi66GCucihVvJfMjLAmec39IyEx_6qawtMGysU/edit?usp=sharing"",""สบก!CG35"")"),0)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IFERROR(__xludf.DUMMYFUNCTION("IMPORTRANGE(""https://docs.google.com/spreadsheets/d/1Yj_ptqi66GCucihVvJfMjLAmec39IyEx_6qawtMGysU/edit?usp=sharing"",""สบก!CH35"")"),0)</f>
        <v>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IFERROR(__xludf.DUMMYFUNCTION("IMPORTRANGE(""https://docs.google.com/spreadsheets/d/1Yj_ptqi66GCucihVvJfMjLAmec39IyEx_6qawtMGysU/edit?usp=sharing"",""สบก!CI35"")"),0)</f>
        <v>0</v>
      </c>
      <c r="M279" s="50"/>
      <c r="N279" s="50">
        <f ca="1">IFERROR(__xludf.DUMMYFUNCTION("IMPORTRANGE(""https://docs.google.com/spreadsheets/d/1Yj_ptqi66GCucihVvJfMjLAmec39IyEx_6qawtMGysU/edit?usp=sharing"",""สบก!CM35"")"),0)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IFERROR(__xludf.DUMMYFUNCTION("IMPORTRANGE(""https://docs.google.com/spreadsheets/d/11923uPwbBZFjjGgGUA6NLw09EwE0CqkOc4q9oUmW1yo/edit?usp=sharing"",""อุตรดิตถ์!J191"")"),0)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IFERROR(__xludf.DUMMYFUNCTION("IMPORTRANGE(""https://docs.google.com/spreadsheets/d/11923uPwbBZFjjGgGUA6NLw09EwE0CqkOc4q9oUmW1yo/edit?usp=sharing"",""อุตรดิตถ์!J192"")"),0)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IFERROR(__xludf.DUMMYFUNCTION("IMPORTRANGE(""https://docs.google.com/spreadsheets/d/11923uPwbBZFjjGgGUA6NLw09EwE0CqkOc4q9oUmW1yo/edit?usp=sharing"",""อุตรดิตถ์!J193"")"),0)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IFERROR(__xludf.DUMMYFUNCTION("IMPORTRANGE(""https://docs.google.com/spreadsheets/d/11923uPwbBZFjjGgGUA6NLw09EwE0CqkOc4q9oUmW1yo/edit?usp=sharing"",""อุตรดิตถ์!J194"")"),0)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IFERROR(__xludf.DUMMYFUNCTION("IMPORTRANGE(""https://docs.google.com/spreadsheets/d/11923uPwbBZFjjGgGUA6NLw09EwE0CqkOc4q9oUmW1yo/edit?usp=sharing"",""อุตรดิตถ์!I195"")"),0)</f>
        <v>0</v>
      </c>
      <c r="J285" s="188">
        <f ca="1">IFERROR(__xludf.DUMMYFUNCTION("IMPORTRANGE(""https://docs.google.com/spreadsheets/d/11923uPwbBZFjjGgGUA6NLw09EwE0CqkOc4q9oUmW1yo/edit?usp=sharing"",""อุตรดิตถ์!J195"")"),0)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IFERROR(__xludf.DUMMYFUNCTION("IMPORTRANGE(""https://docs.google.com/spreadsheets/d/11923uPwbBZFjjGgGUA6NLw09EwE0CqkOc4q9oUmW1yo/edit?usp=sharing"",""อุตรดิตถ์!J196"")"),0)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IFERROR(__xludf.DUMMYFUNCTION("IMPORTRANGE(""https://docs.google.com/spreadsheets/d/11923uPwbBZFjjGgGUA6NLw09EwE0CqkOc4q9oUmW1yo/edit?usp=sharing"",""อุตรดิตถ์!J197"")"),0)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IFERROR(__xludf.DUMMYFUNCTION("IMPORTRANGE(""https://docs.google.com/spreadsheets/d/11923uPwbBZFjjGgGUA6NLw09EwE0CqkOc4q9oUmW1yo/edit?usp=sharing"",""อุตรดิตถ์!I199"")"),0)</f>
        <v>0</v>
      </c>
      <c r="J289" s="316">
        <f ca="1">IFERROR(__xludf.DUMMYFUNCTION("IMPORTRANGE(""https://docs.google.com/spreadsheets/d/11923uPwbBZFjjGgGUA6NLw09EwE0CqkOc4q9oUmW1yo/edit?usp=sharing"",""อุตรดิตถ์!J199"")"),0)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IFERROR(__xludf.DUMMYFUNCTION("IMPORTRANGE(""https://docs.google.com/spreadsheets/d/1Yj_ptqi66GCucihVvJfMjLAmec39IyEx_6qawtMGysU/edit?usp=sharing"",""สบก!CT35"")"),0)</f>
        <v>0</v>
      </c>
      <c r="N294" s="168">
        <f ca="1">IFERROR(__xludf.DUMMYFUNCTION("IMPORTRANGE(""https://docs.google.com/spreadsheets/d/1Yj_ptqi66GCucihVvJfMjLAmec39IyEx_6qawtMGysU/edit?usp=sharing"",""สบก!CU35"")"),0)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IFERROR(__xludf.DUMMYFUNCTION("IMPORTRANGE(""https://docs.google.com/spreadsheets/d/1Yj_ptqi66GCucihVvJfMjLAmec39IyEx_6qawtMGysU/edit?usp=sharing"",""สบก!CP35"")"),0)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IFERROR(__xludf.DUMMYFUNCTION("IMPORTRANGE(""https://docs.google.com/spreadsheets/d/1Yj_ptqi66GCucihVvJfMjLAmec39IyEx_6qawtMGysU/edit?usp=sharing"",""สบก!CQ35"")"),0)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IFERROR(__xludf.DUMMYFUNCTION("IMPORTRANGE(""https://docs.google.com/spreadsheets/d/1Yj_ptqi66GCucihVvJfMjLAmec39IyEx_6qawtMGysU/edit?usp=sharing"",""สบก!CR35"")"),0)</f>
        <v>0</v>
      </c>
      <c r="M298" s="50"/>
      <c r="N298" s="50">
        <f ca="1">IFERROR(__xludf.DUMMYFUNCTION("IMPORTRANGE(""https://docs.google.com/spreadsheets/d/1Yj_ptqi66GCucihVvJfMjLAmec39IyEx_6qawtMGysU/edit?usp=sharing"",""สบก!CV35"")"),0)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IFERROR(__xludf.DUMMYFUNCTION("IMPORTRANGE(""https://docs.google.com/spreadsheets/d/11923uPwbBZFjjGgGUA6NLw09EwE0CqkOc4q9oUmW1yo/edit?usp=sharing"",""อุตรดิตถ์!J205"")"),0)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IFERROR(__xludf.DUMMYFUNCTION("IMPORTRANGE(""https://docs.google.com/spreadsheets/d/11923uPwbBZFjjGgGUA6NLw09EwE0CqkOc4q9oUmW1yo/edit?usp=sharing"",""อุตรดิตถ์!J206"")"),0)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IFERROR(__xludf.DUMMYFUNCTION("IMPORTRANGE(""https://docs.google.com/spreadsheets/d/11923uPwbBZFjjGgGUA6NLw09EwE0CqkOc4q9oUmW1yo/edit?usp=sharing"",""อุตรดิตถ์!J207"")"),0)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IFERROR(__xludf.DUMMYFUNCTION("IMPORTRANGE(""https://docs.google.com/spreadsheets/d/11923uPwbBZFjjGgGUA6NLw09EwE0CqkOc4q9oUmW1yo/edit?usp=sharing"",""อุตรดิตถ์!J208"")"),0)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IFERROR(__xludf.DUMMYFUNCTION("IMPORTRANGE(""https://docs.google.com/spreadsheets/d/11923uPwbBZFjjGgGUA6NLw09EwE0CqkOc4q9oUmW1yo/edit?usp=sharing"",""อุตรดิตถ์!I209"")"),0)</f>
        <v>0</v>
      </c>
      <c r="J304" s="203">
        <f ca="1">IFERROR(__xludf.DUMMYFUNCTION("IMPORTRANGE(""https://docs.google.com/spreadsheets/d/11923uPwbBZFjjGgGUA6NLw09EwE0CqkOc4q9oUmW1yo/edit?usp=sharing"",""อุตรดิตถ์!J209"")"),0)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IFERROR(__xludf.DUMMYFUNCTION("IMPORTRANGE(""https://docs.google.com/spreadsheets/d/11923uPwbBZFjjGgGUA6NLw09EwE0CqkOc4q9oUmW1yo/edit?usp=sharing"",""อุตรดิตถ์!I211"")"),0)</f>
        <v>0</v>
      </c>
      <c r="J306" s="203">
        <f ca="1">IFERROR(__xludf.DUMMYFUNCTION("IMPORTRANGE(""https://docs.google.com/spreadsheets/d/11923uPwbBZFjjGgGUA6NLw09EwE0CqkOc4q9oUmW1yo/edit?usp=sharing"",""อุตรดิตถ์!J211"")"),0)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IFERROR(__xludf.DUMMYFUNCTION("IMPORTRANGE(""https://docs.google.com/spreadsheets/d/11923uPwbBZFjjGgGUA6NLw09EwE0CqkOc4q9oUmW1yo/edit?usp=sharing"",""อุตรดิตถ์!J212"")"),0)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IFERROR(__xludf.DUMMYFUNCTION("IMPORTRANGE(""https://docs.google.com/spreadsheets/d/11923uPwbBZFjjGgGUA6NLw09EwE0CqkOc4q9oUmW1yo/edit?usp=sharing"",""อุตรดิตถ์!J213"")"),0)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IFERROR(__xludf.DUMMYFUNCTION("IMPORTRANGE(""https://docs.google.com/spreadsheets/d/11923uPwbBZFjjGgGUA6NLw09EwE0CqkOc4q9oUmW1yo/edit?usp=sharing"",""อุตรดิตถ์!I214"")"),0)</f>
        <v>0</v>
      </c>
      <c r="J309" s="333">
        <f ca="1">IFERROR(__xludf.DUMMYFUNCTION("IMPORTRANGE(""https://docs.google.com/spreadsheets/d/11923uPwbBZFjjGgGUA6NLw09EwE0CqkOc4q9oUmW1yo/edit?usp=sharing"",""อุตรดิตถ์!J214"")"),0)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IFERROR(__xludf.DUMMYFUNCTION("IMPORTRANGE(""https://docs.google.com/spreadsheets/d/1Yj_ptqi66GCucihVvJfMjLAmec39IyEx_6qawtMGysU/edit?usp=sharing"",""สบก!DC35"")"),0)</f>
        <v>0</v>
      </c>
      <c r="N314" s="168">
        <f ca="1">IFERROR(__xludf.DUMMYFUNCTION("IMPORTRANGE(""https://docs.google.com/spreadsheets/d/1Yj_ptqi66GCucihVvJfMjLAmec39IyEx_6qawtMGysU/edit?usp=sharing"",""สบก!DD35"")"),0)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IFERROR(__xludf.DUMMYFUNCTION("IMPORTRANGE(""https://docs.google.com/spreadsheets/d/1Yj_ptqi66GCucihVvJfMjLAmec39IyEx_6qawtMGysU/edit?usp=sharing"",""สบก!CY35"")"),0)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IFERROR(__xludf.DUMMYFUNCTION("IMPORTRANGE(""https://docs.google.com/spreadsheets/d/1Yj_ptqi66GCucihVvJfMjLAmec39IyEx_6qawtMGysU/edit?usp=sharing"",""สบก!CZ35"")"),0)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IFERROR(__xludf.DUMMYFUNCTION("IMPORTRANGE(""https://docs.google.com/spreadsheets/d/1Yj_ptqi66GCucihVvJfMjLAmec39IyEx_6qawtMGysU/edit?usp=sharing"",""สบก!DA35"")"),0)</f>
        <v>0</v>
      </c>
      <c r="M318" s="50"/>
      <c r="N318" s="50">
        <f ca="1">IFERROR(__xludf.DUMMYFUNCTION("IMPORTRANGE(""https://docs.google.com/spreadsheets/d/1Yj_ptqi66GCucihVvJfMjLAmec39IyEx_6qawtMGysU/edit?usp=sharing"",""สบก!DE35"")"),0)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IFERROR(__xludf.DUMMYFUNCTION("IMPORTRANGE(""https://docs.google.com/spreadsheets/d/11923uPwbBZFjjGgGUA6NLw09EwE0CqkOc4q9oUmW1yo/edit?usp=sharing"",""อุตรดิตถ์!J220"")"),0)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IFERROR(__xludf.DUMMYFUNCTION("IMPORTRANGE(""https://docs.google.com/spreadsheets/d/11923uPwbBZFjjGgGUA6NLw09EwE0CqkOc4q9oUmW1yo/edit?usp=sharing"",""อุตรดิตถ์!J221"")"),0)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IFERROR(__xludf.DUMMYFUNCTION("IMPORTRANGE(""https://docs.google.com/spreadsheets/d/11923uPwbBZFjjGgGUA6NLw09EwE0CqkOc4q9oUmW1yo/edit?usp=sharing"",""อุตรดิตถ์!J222"")"),0)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IFERROR(__xludf.DUMMYFUNCTION("IMPORTRANGE(""https://docs.google.com/spreadsheets/d/11923uPwbBZFjjGgGUA6NLw09EwE0CqkOc4q9oUmW1yo/edit?usp=sharing"",""อุตรดิตถ์!J223"")"),0)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IFERROR(__xludf.DUMMYFUNCTION("IMPORTRANGE(""https://docs.google.com/spreadsheets/d/11923uPwbBZFjjGgGUA6NLw09EwE0CqkOc4q9oUmW1yo/edit?usp=sharing"",""อุตรดิตถ์!I224"")"),0)</f>
        <v>0</v>
      </c>
      <c r="J324" s="203">
        <f ca="1">IFERROR(__xludf.DUMMYFUNCTION("IMPORTRANGE(""https://docs.google.com/spreadsheets/d/11923uPwbBZFjjGgGUA6NLw09EwE0CqkOc4q9oUmW1yo/edit?usp=sharing"",""อุตรดิตถ์!J224"")"),0)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IFERROR(__xludf.DUMMYFUNCTION("IMPORTRANGE(""https://docs.google.com/spreadsheets/d/11923uPwbBZFjjGgGUA6NLw09EwE0CqkOc4q9oUmW1yo/edit?usp=sharing"",""อุตรดิตถ์!J225"")"),0)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IFERROR(__xludf.DUMMYFUNCTION("IMPORTRANGE(""https://docs.google.com/spreadsheets/d/11923uPwbBZFjjGgGUA6NLw09EwE0CqkOc4q9oUmW1yo/edit?usp=sharing"",""อุตรดิตถ์!J226"")"),0)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IFERROR(__xludf.DUMMYFUNCTION("IMPORTRANGE(""https://docs.google.com/spreadsheets/d/11923uPwbBZFjjGgGUA6NLw09EwE0CqkOc4q9oUmW1yo/edit?usp=sharing"",""อุตรดิตถ์!I228"")"),540)</f>
        <v>540</v>
      </c>
      <c r="J328" s="339">
        <f ca="1">IFERROR(__xludf.DUMMYFUNCTION("IMPORTRANGE(""https://docs.google.com/spreadsheets/d/11923uPwbBZFjjGgGUA6NLw09EwE0CqkOc4q9oUmW1yo/edit?usp=sharing"",""อุตรดิตถ์!J228"")"),311)</f>
        <v>311</v>
      </c>
      <c r="K328" s="317">
        <f ca="1">IF(I328&gt;0,J328*100/I328,0)</f>
        <v>57.592592592592595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943300</v>
      </c>
      <c r="M329" s="152">
        <f t="shared" ca="1" si="98"/>
        <v>983100</v>
      </c>
      <c r="N329" s="152">
        <f t="shared" ca="1" si="98"/>
        <v>648943.1</v>
      </c>
      <c r="O329" s="151">
        <f t="shared" ref="O329:O331" ca="1" si="99">IF(L329&gt;0,N329*100/L329,0)</f>
        <v>68.794985688540237</v>
      </c>
      <c r="P329" s="151">
        <f t="shared" ref="P329:P331" ca="1" si="100">IF(M329&gt;0,N329*100/M329,0)</f>
        <v>66.009876919947104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943300</v>
      </c>
      <c r="M331" s="88">
        <f t="shared" ca="1" si="102"/>
        <v>983100</v>
      </c>
      <c r="N331" s="88">
        <f t="shared" ca="1" si="102"/>
        <v>648943.1</v>
      </c>
      <c r="O331" s="156">
        <f t="shared" ca="1" si="99"/>
        <v>68.794985688540237</v>
      </c>
      <c r="P331" s="156">
        <f t="shared" ca="1" si="100"/>
        <v>66.009876919947104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943300</v>
      </c>
      <c r="M333" s="167">
        <f ca="1">IFERROR(__xludf.DUMMYFUNCTION("IMPORTRANGE(""https://docs.google.com/spreadsheets/d/1Yj_ptqi66GCucihVvJfMjLAmec39IyEx_6qawtMGysU/edit?usp=sharing"",""สบก!DL35"")"),983100)</f>
        <v>983100</v>
      </c>
      <c r="N333" s="168">
        <f ca="1">IFERROR(__xludf.DUMMYFUNCTION("IMPORTRANGE(""https://docs.google.com/spreadsheets/d/1Yj_ptqi66GCucihVvJfMjLAmec39IyEx_6qawtMGysU/edit?usp=sharing"",""สบก!DM35"")"),648943.1)</f>
        <v>648943.1</v>
      </c>
      <c r="O333" s="168">
        <f ca="1">IF(L333&gt;0,N333*100/L333,0)</f>
        <v>68.794985688540237</v>
      </c>
      <c r="P333" s="168">
        <f ca="1">IF(M333&gt;0,N333*100/M333,0)</f>
        <v>66.009876919947104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IFERROR(__xludf.DUMMYFUNCTION("IMPORTRANGE(""https://docs.google.com/spreadsheets/d/1Yj_ptqi66GCucihVvJfMjLAmec39IyEx_6qawtMGysU/edit?usp=sharing"",""สบก!DH35"")"),614000)</f>
        <v>614000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IFERROR(__xludf.DUMMYFUNCTION("IMPORTRANGE(""https://docs.google.com/spreadsheets/d/1Yj_ptqi66GCucihVvJfMjLAmec39IyEx_6qawtMGysU/edit?usp=sharing"",""สบก!DI35"")"),329300)</f>
        <v>329300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IFERROR(__xludf.DUMMYFUNCTION("IMPORTRANGE(""https://docs.google.com/spreadsheets/d/1Yj_ptqi66GCucihVvJfMjLAmec39IyEx_6qawtMGysU/edit?usp=sharing"",""สบก!DJ35"")"),0)</f>
        <v>0</v>
      </c>
      <c r="M337" s="50"/>
      <c r="N337" s="50">
        <f ca="1">IFERROR(__xludf.DUMMYFUNCTION("IMPORTRANGE(""https://docs.google.com/spreadsheets/d/1Yj_ptqi66GCucihVvJfMjLAmec39IyEx_6qawtMGysU/edit?usp=sharing"",""สบก!DN35"")"),0)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IFERROR(__xludf.DUMMYFUNCTION("IMPORTRANGE(""https://docs.google.com/spreadsheets/d/11923uPwbBZFjjGgGUA6NLw09EwE0CqkOc4q9oUmW1yo/edit?usp=sharing"",""อุตรดิตถ์!I234"")"),0)</f>
        <v>0</v>
      </c>
      <c r="J339" s="187">
        <f ca="1">IFERROR(__xludf.DUMMYFUNCTION("IMPORTRANGE(""https://docs.google.com/spreadsheets/d/11923uPwbBZFjjGgGUA6NLw09EwE0CqkOc4q9oUmW1yo/edit?usp=sharing"",""อุตรดิตถ์!J234"")"),80)</f>
        <v>80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IFERROR(__xludf.DUMMYFUNCTION("IMPORTRANGE(""https://docs.google.com/spreadsheets/d/11923uPwbBZFjjGgGUA6NLw09EwE0CqkOc4q9oUmW1yo/edit?usp=sharing"",""อุตรดิตถ์!I235"")"),800)</f>
        <v>800</v>
      </c>
      <c r="J340" s="187">
        <f ca="1">IFERROR(__xludf.DUMMYFUNCTION("IMPORTRANGE(""https://docs.google.com/spreadsheets/d/11923uPwbBZFjjGgGUA6NLw09EwE0CqkOc4q9oUmW1yo/edit?usp=sharing"",""อุตรดิตถ์!J235"")"),604.73)</f>
        <v>604.73</v>
      </c>
      <c r="K340" s="342">
        <f t="shared" ca="1" si="103"/>
        <v>75.591250000000002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IFERROR(__xludf.DUMMYFUNCTION("IMPORTRANGE(""https://docs.google.com/spreadsheets/d/11923uPwbBZFjjGgGUA6NLw09EwE0CqkOc4q9oUmW1yo/edit?usp=sharing"",""อุตรดิตถ์!I236"")"),540)</f>
        <v>540</v>
      </c>
      <c r="J341" s="187">
        <f ca="1">IFERROR(__xludf.DUMMYFUNCTION("IMPORTRANGE(""https://docs.google.com/spreadsheets/d/11923uPwbBZFjjGgGUA6NLw09EwE0CqkOc4q9oUmW1yo/edit?usp=sharing"",""อุตรดิตถ์!J236"")"),356)</f>
        <v>356</v>
      </c>
      <c r="K341" s="342">
        <f t="shared" ca="1" si="103"/>
        <v>65.925925925925924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IFERROR(__xludf.DUMMYFUNCTION("IMPORTRANGE(""https://docs.google.com/spreadsheets/d/11923uPwbBZFjjGgGUA6NLw09EwE0CqkOc4q9oUmW1yo/edit?usp=sharing"",""อุตรดิตถ์!I237"")"),0)</f>
        <v>0</v>
      </c>
      <c r="J342" s="187">
        <f ca="1">IFERROR(__xludf.DUMMYFUNCTION("IMPORTRANGE(""https://docs.google.com/spreadsheets/d/11923uPwbBZFjjGgGUA6NLw09EwE0CqkOc4q9oUmW1yo/edit?usp=sharing"",""อุตรดิตถ์!J237"")"),3674.31)</f>
        <v>3674.31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IFERROR(__xludf.DUMMYFUNCTION("IMPORTRANGE(""https://docs.google.com/spreadsheets/d/11923uPwbBZFjjGgGUA6NLw09EwE0CqkOc4q9oUmW1yo/edit?usp=sharing"",""อุตรดิตถ์!I238"")"),540)</f>
        <v>540</v>
      </c>
      <c r="J343" s="187">
        <f ca="1">IFERROR(__xludf.DUMMYFUNCTION("IMPORTRANGE(""https://docs.google.com/spreadsheets/d/11923uPwbBZFjjGgGUA6NLw09EwE0CqkOc4q9oUmW1yo/edit?usp=sharing"",""อุตรดิตถ์!J238"")"),0)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IFERROR(__xludf.DUMMYFUNCTION("IMPORTRANGE(""https://docs.google.com/spreadsheets/d/11923uPwbBZFjjGgGUA6NLw09EwE0CqkOc4q9oUmW1yo/edit?usp=sharing"",""อุตรดิตถ์!I239"")"),0)</f>
        <v>0</v>
      </c>
      <c r="J344" s="187">
        <f ca="1">IFERROR(__xludf.DUMMYFUNCTION("IMPORTRANGE(""https://docs.google.com/spreadsheets/d/11923uPwbBZFjjGgGUA6NLw09EwE0CqkOc4q9oUmW1yo/edit?usp=sharing"",""อุตรดิตถ์!J239"")"),0)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IFERROR(__xludf.DUMMYFUNCTION("IMPORTRANGE(""https://docs.google.com/spreadsheets/d/11923uPwbBZFjjGgGUA6NLw09EwE0CqkOc4q9oUmW1yo/edit?usp=sharing"",""อุตรดิตถ์!I240"")"),540)</f>
        <v>540</v>
      </c>
      <c r="J345" s="187">
        <f ca="1">IFERROR(__xludf.DUMMYFUNCTION("IMPORTRANGE(""https://docs.google.com/spreadsheets/d/11923uPwbBZFjjGgGUA6NLw09EwE0CqkOc4q9oUmW1yo/edit?usp=sharing"",""อุตรดิตถ์!J240"")"),311)</f>
        <v>311</v>
      </c>
      <c r="K345" s="342">
        <f t="shared" ca="1" si="103"/>
        <v>57.592592592592595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IFERROR(__xludf.DUMMYFUNCTION("IMPORTRANGE(""https://docs.google.com/spreadsheets/d/11923uPwbBZFjjGgGUA6NLw09EwE0CqkOc4q9oUmW1yo/edit?usp=sharing"",""อุตรดิตถ์!I241"")"),0)</f>
        <v>0</v>
      </c>
      <c r="J346" s="187">
        <f ca="1">IFERROR(__xludf.DUMMYFUNCTION("IMPORTRANGE(""https://docs.google.com/spreadsheets/d/11923uPwbBZFjjGgGUA6NLw09EwE0CqkOc4q9oUmW1yo/edit?usp=sharing"",""อุตรดิตถ์!J241"")"),3381.77999999999)</f>
        <v>3381.7799999999902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IFERROR(__xludf.DUMMYFUNCTION("IMPORTRANGE(""https://docs.google.com/spreadsheets/d/11923uPwbBZFjjGgGUA6NLw09EwE0CqkOc4q9oUmW1yo/edit?usp=sharing"",""อุตรดิตถ์!L242"")"),2204727)</f>
        <v>2204727</v>
      </c>
      <c r="M347" s="357"/>
      <c r="N347" s="357">
        <f ca="1">IFERROR(__xludf.DUMMYFUNCTION("IMPORTRANGE(""https://docs.google.com/spreadsheets/d/11923uPwbBZFjjGgGUA6NLw09EwE0CqkOc4q9oUmW1yo/edit?usp=sharing"",""อุตรดิตถ์!M242"")"),1241840.69)</f>
        <v>1241840.69</v>
      </c>
      <c r="O347" s="357">
        <f ca="1">+IF(L347&gt;0,N347*100/L347,0)</f>
        <v>56.326279398764562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IFERROR(__xludf.DUMMYFUNCTION("IMPORTRANGE(""https://docs.google.com/spreadsheets/d/11923uPwbBZFjjGgGUA6NLw09EwE0CqkOc4q9oUmW1yo/edit?usp=sharing"",""อุตรดิตถ์!I244"")"),30)</f>
        <v>30</v>
      </c>
      <c r="J349" s="370">
        <f ca="1">IFERROR(__xludf.DUMMYFUNCTION("IMPORTRANGE(""https://docs.google.com/spreadsheets/d/11923uPwbBZFjjGgGUA6NLw09EwE0CqkOc4q9oUmW1yo/edit?usp=sharing"",""อุตรดิตถ์!J244"")"),30)</f>
        <v>30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IFERROR(__xludf.DUMMYFUNCTION("IMPORTRANGE(""https://docs.google.com/spreadsheets/d/11923uPwbBZFjjGgGUA6NLw09EwE0CqkOc4q9oUmW1yo/edit?usp=sharing"",""อุตรดิตถ์!L244"")"),257760)</f>
        <v>257760</v>
      </c>
      <c r="M349" s="372"/>
      <c r="N349" s="372">
        <f ca="1">IFERROR(__xludf.DUMMYFUNCTION("IMPORTRANGE(""https://docs.google.com/spreadsheets/d/11923uPwbBZFjjGgGUA6NLw09EwE0CqkOc4q9oUmW1yo/edit?usp=sharing"",""อุตรดิตถ์!M244"")"),187388.6)</f>
        <v>187388.6</v>
      </c>
      <c r="O349" s="372">
        <f ca="1">+IF(L349&gt;0,N349*100/L349,0)</f>
        <v>72.698867163252643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IFERROR(__xludf.DUMMYFUNCTION("IMPORTRANGE(""https://docs.google.com/spreadsheets/d/11923uPwbBZFjjGgGUA6NLw09EwE0CqkOc4q9oUmW1yo/edit?usp=sharing"",""อุตรดิตถ์!I245"")"),30)</f>
        <v>30</v>
      </c>
      <c r="J350" s="370">
        <f ca="1">IFERROR(__xludf.DUMMYFUNCTION("IMPORTRANGE(""https://docs.google.com/spreadsheets/d/11923uPwbBZFjjGgGUA6NLw09EwE0CqkOc4q9oUmW1yo/edit?usp=sharing"",""อุตรดิตถ์!J245"")"),30)</f>
        <v>30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IFERROR(__xludf.DUMMYFUNCTION("IMPORTRANGE(""https://docs.google.com/spreadsheets/d/11923uPwbBZFjjGgGUA6NLw09EwE0CqkOc4q9oUmW1yo/edit?usp=sharing"",""อุตรดิตถ์!L246"")"),0)</f>
        <v>0</v>
      </c>
      <c r="M351" s="164"/>
      <c r="N351" s="164">
        <f ca="1">IFERROR(__xludf.DUMMYFUNCTION("IMPORTRANGE(""https://docs.google.com/spreadsheets/d/11923uPwbBZFjjGgGUA6NLw09EwE0CqkOc4q9oUmW1yo/edit?usp=sharing"",""อุตรดิตถ์!M246"")"),0)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IFERROR(__xludf.DUMMYFUNCTION("IMPORTRANGE(""https://docs.google.com/spreadsheets/d/11923uPwbBZFjjGgGUA6NLw09EwE0CqkOc4q9oUmW1yo/edit?usp=sharing"",""อุตรดิตถ์!L247"")"),257760)</f>
        <v>257760</v>
      </c>
      <c r="M352" s="165"/>
      <c r="N352" s="164">
        <f ca="1">IFERROR(__xludf.DUMMYFUNCTION("IMPORTRANGE(""https://docs.google.com/spreadsheets/d/11923uPwbBZFjjGgGUA6NLw09EwE0CqkOc4q9oUmW1yo/edit?usp=sharing"",""อุตรดิตถ์!M247"")"),187388.6)</f>
        <v>187388.6</v>
      </c>
      <c r="O352" s="165">
        <f t="shared" ca="1" si="105"/>
        <v>72.698867163252643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IFERROR(__xludf.DUMMYFUNCTION("IMPORTRANGE(""https://docs.google.com/spreadsheets/d/11923uPwbBZFjjGgGUA6NLw09EwE0CqkOc4q9oUmW1yo/edit?usp=sharing"",""อุตรดิตถ์!L248"")"),0)</f>
        <v>0</v>
      </c>
      <c r="M353" s="168"/>
      <c r="N353" s="168">
        <f ca="1">IFERROR(__xludf.DUMMYFUNCTION("IMPORTRANGE(""https://docs.google.com/spreadsheets/d/11923uPwbBZFjjGgGUA6NLw09EwE0CqkOc4q9oUmW1yo/edit?usp=sharing"",""อุตรดิตถ์!M248"")"),0)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IFERROR(__xludf.DUMMYFUNCTION("IMPORTRANGE(""https://docs.google.com/spreadsheets/d/11923uPwbBZFjjGgGUA6NLw09EwE0CqkOc4q9oUmW1yo/edit?usp=sharing"",""อุตรดิตถ์!L249"")"),257760)</f>
        <v>257760</v>
      </c>
      <c r="M354" s="168"/>
      <c r="N354" s="167">
        <f ca="1">IFERROR(__xludf.DUMMYFUNCTION("IMPORTRANGE(""https://docs.google.com/spreadsheets/d/11923uPwbBZFjjGgGUA6NLw09EwE0CqkOc4q9oUmW1yo/edit?usp=sharing"",""อุตรดิตถ์!M249"")"),187388.6)</f>
        <v>187388.6</v>
      </c>
      <c r="O354" s="168">
        <f t="shared" ca="1" si="105"/>
        <v>72.698867163252643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IFERROR(__xludf.DUMMYFUNCTION("IMPORTRANGE(""https://docs.google.com/spreadsheets/d/11923uPwbBZFjjGgGUA6NLw09EwE0CqkOc4q9oUmW1yo/edit?usp=sharing"",""อุตรดิตถ์!M250"")"),52382)</f>
        <v>52382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IFERROR(__xludf.DUMMYFUNCTION("IMPORTRANGE(""https://docs.google.com/spreadsheets/d/11923uPwbBZFjjGgGUA6NLw09EwE0CqkOc4q9oUmW1yo/edit?usp=sharing"",""อุตรดิตถ์!M251"")"),37068)</f>
        <v>37068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IFERROR(__xludf.DUMMYFUNCTION("IMPORTRANGE(""https://docs.google.com/spreadsheets/d/11923uPwbBZFjjGgGUA6NLw09EwE0CqkOc4q9oUmW1yo/edit?usp=sharing"",""อุตรดิตถ์!M252"")"),83621)</f>
        <v>83621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IFERROR(__xludf.DUMMYFUNCTION("IMPORTRANGE(""https://docs.google.com/spreadsheets/d/11923uPwbBZFjjGgGUA6NLw09EwE0CqkOc4q9oUmW1yo/edit?usp=sharing"",""อุตรดิตถ์!M253"")"),14317.6)</f>
        <v>14317.6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IFERROR(__xludf.DUMMYFUNCTION("IMPORTRANGE(""https://docs.google.com/spreadsheets/d/11923uPwbBZFjjGgGUA6NLw09EwE0CqkOc4q9oUmW1yo/edit?usp=sharing"",""อุตรดิตถ์!J255"")"),0)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IFERROR(__xludf.DUMMYFUNCTION("IMPORTRANGE(""https://docs.google.com/spreadsheets/d/11923uPwbBZFjjGgGUA6NLw09EwE0CqkOc4q9oUmW1yo/edit?usp=sharing"",""อุตรดิตถ์!J256"")"),1)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IFERROR(__xludf.DUMMYFUNCTION("IMPORTRANGE(""https://docs.google.com/spreadsheets/d/11923uPwbBZFjjGgGUA6NLw09EwE0CqkOc4q9oUmW1yo/edit?usp=sharing"",""อุตรดิตถ์!J257"")"),1)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IFERROR(__xludf.DUMMYFUNCTION("IMPORTRANGE(""https://docs.google.com/spreadsheets/d/11923uPwbBZFjjGgGUA6NLw09EwE0CqkOc4q9oUmW1yo/edit?usp=sharing"",""อุตรดิตถ์!J258"")"),1)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IFERROR(__xludf.DUMMYFUNCTION("IMPORTRANGE(""https://docs.google.com/spreadsheets/d/11923uPwbBZFjjGgGUA6NLw09EwE0CqkOc4q9oUmW1yo/edit?usp=sharing"",""อุตรดิตถ์!J166"")"),0)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IFERROR(__xludf.DUMMYFUNCTION("IMPORTRANGE(""https://docs.google.com/spreadsheets/d/11923uPwbBZFjjGgGUA6NLw09EwE0CqkOc4q9oUmW1yo/edit?usp=sharing"",""อุตรดิตถ์!J166"")"),0)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IFERROR(__xludf.DUMMYFUNCTION("IMPORTRANGE(""https://docs.google.com/spreadsheets/d/11923uPwbBZFjjGgGUA6NLw09EwE0CqkOc4q9oUmW1yo/edit?usp=sharing"",""อุตรดิตถ์!J166"")"),0)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IFERROR(__xludf.DUMMYFUNCTION("IMPORTRANGE(""https://docs.google.com/spreadsheets/d/11923uPwbBZFjjGgGUA6NLw09EwE0CqkOc4q9oUmW1yo/edit?usp=sharing"",""อุตรดิตถ์!J166"")"),0)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IFERROR(__xludf.DUMMYFUNCTION("IMPORTRANGE(""https://docs.google.com/spreadsheets/d/11923uPwbBZFjjGgGUA6NLw09EwE0CqkOc4q9oUmW1yo/edit?usp=sharing"",""อุตรดิตถ์!I263"")"),30)</f>
        <v>30</v>
      </c>
      <c r="J368" s="187">
        <f ca="1">IFERROR(__xludf.DUMMYFUNCTION("IMPORTRANGE(""https://docs.google.com/spreadsheets/d/11923uPwbBZFjjGgGUA6NLw09EwE0CqkOc4q9oUmW1yo/edit?usp=sharing"",""อุตรดิตถ์!J263"")"),30)</f>
        <v>30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IFERROR(__xludf.DUMMYFUNCTION("IMPORTRANGE(""https://docs.google.com/spreadsheets/d/11923uPwbBZFjjGgGUA6NLw09EwE0CqkOc4q9oUmW1yo/edit?usp=sharing"",""อุตรดิตถ์!I164"")"),0)</f>
        <v>0</v>
      </c>
      <c r="J369" s="203">
        <f ca="1">IFERROR(__xludf.DUMMYFUNCTION("IMPORTRANGE(""https://docs.google.com/spreadsheets/d/11923uPwbBZFjjGgGUA6NLw09EwE0CqkOc4q9oUmW1yo/edit?usp=sharing"",""อุตรดิตถ์!J164"")"),0)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IFERROR(__xludf.DUMMYFUNCTION("IMPORTRANGE(""https://docs.google.com/spreadsheets/d/11923uPwbBZFjjGgGUA6NLw09EwE0CqkOc4q9oUmW1yo/edit?usp=sharing"",""อุตรดิตถ์!I265"")"),30)</f>
        <v>30</v>
      </c>
      <c r="J370" s="203">
        <f ca="1">IFERROR(__xludf.DUMMYFUNCTION("IMPORTRANGE(""https://docs.google.com/spreadsheets/d/11923uPwbBZFjjGgGUA6NLw09EwE0CqkOc4q9oUmW1yo/edit?usp=sharing"",""อุตรดิตถ์!J265"")"),30)</f>
        <v>30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IFERROR(__xludf.DUMMYFUNCTION("IMPORTRANGE(""https://docs.google.com/spreadsheets/d/11923uPwbBZFjjGgGUA6NLw09EwE0CqkOc4q9oUmW1yo/edit?usp=sharing"",""อุตรดิตถ์!I164"")"),0)</f>
        <v>0</v>
      </c>
      <c r="J371" s="188">
        <f ca="1">IFERROR(__xludf.DUMMYFUNCTION("IMPORTRANGE(""https://docs.google.com/spreadsheets/d/11923uPwbBZFjjGgGUA6NLw09EwE0CqkOc4q9oUmW1yo/edit?usp=sharing"",""อุตรดิตถ์!J164"")"),0)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IFERROR(__xludf.DUMMYFUNCTION("IMPORTRANGE(""https://docs.google.com/spreadsheets/d/11923uPwbBZFjjGgGUA6NLw09EwE0CqkOc4q9oUmW1yo/edit?usp=sharing"",""อุตรดิตถ์!I267"")"),30)</f>
        <v>30</v>
      </c>
      <c r="J372" s="188">
        <f ca="1">IFERROR(__xludf.DUMMYFUNCTION("IMPORTRANGE(""https://docs.google.com/spreadsheets/d/11923uPwbBZFjjGgGUA6NLw09EwE0CqkOc4q9oUmW1yo/edit?usp=sharing"",""อุตรดิตถ์!J267"")"),30)</f>
        <v>30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IFERROR(__xludf.DUMMYFUNCTION("IMPORTRANGE(""https://docs.google.com/spreadsheets/d/11923uPwbBZFjjGgGUA6NLw09EwE0CqkOc4q9oUmW1yo/edit?usp=sharing"",""อุตรดิตถ์!I164"")"),0)</f>
        <v>0</v>
      </c>
      <c r="J373" s="203">
        <f ca="1">IFERROR(__xludf.DUMMYFUNCTION("IMPORTRANGE(""https://docs.google.com/spreadsheets/d/11923uPwbBZFjjGgGUA6NLw09EwE0CqkOc4q9oUmW1yo/edit?usp=sharing"",""อุตรดิตถ์!J164"")"),0)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IFERROR(__xludf.DUMMYFUNCTION("IMPORTRANGE(""https://docs.google.com/spreadsheets/d/11923uPwbBZFjjGgGUA6NLw09EwE0CqkOc4q9oUmW1yo/edit?usp=sharing"",""อุตรดิตถ์!I164"")"),0)</f>
        <v>0</v>
      </c>
      <c r="J374" s="187">
        <f ca="1">IFERROR(__xludf.DUMMYFUNCTION("IMPORTRANGE(""https://docs.google.com/spreadsheets/d/11923uPwbBZFjjGgGUA6NLw09EwE0CqkOc4q9oUmW1yo/edit?usp=sharing"",""อุตรดิตถ์!J164"")"),0)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IFERROR(__xludf.DUMMYFUNCTION("IMPORTRANGE(""https://docs.google.com/spreadsheets/d/11923uPwbBZFjjGgGUA6NLw09EwE0CqkOc4q9oUmW1yo/edit?usp=sharing"",""อุตรดิตถ์!I270"")"),30)</f>
        <v>30</v>
      </c>
      <c r="J375" s="187">
        <f ca="1">IFERROR(__xludf.DUMMYFUNCTION("IMPORTRANGE(""https://docs.google.com/spreadsheets/d/11923uPwbBZFjjGgGUA6NLw09EwE0CqkOc4q9oUmW1yo/edit?usp=sharing"",""อุตรดิตถ์!J270"")"),30)</f>
        <v>30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IFERROR(__xludf.DUMMYFUNCTION("IMPORTRANGE(""https://docs.google.com/spreadsheets/d/11923uPwbBZFjjGgGUA6NLw09EwE0CqkOc4q9oUmW1yo/edit?usp=sharing"",""อุตรดิตถ์!I271"")"),20)</f>
        <v>20</v>
      </c>
      <c r="J376" s="188">
        <f ca="1">IFERROR(__xludf.DUMMYFUNCTION("IMPORTRANGE(""https://docs.google.com/spreadsheets/d/11923uPwbBZFjjGgGUA6NLw09EwE0CqkOc4q9oUmW1yo/edit?usp=sharing"",""อุตรดิตถ์!J271"")"),20)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IFERROR(__xludf.DUMMYFUNCTION("IMPORTRANGE(""https://docs.google.com/spreadsheets/d/11923uPwbBZFjjGgGUA6NLw09EwE0CqkOc4q9oUmW1yo/edit?usp=sharing"",""อุตรดิตถ์!I272"")"),10)</f>
        <v>10</v>
      </c>
      <c r="J377" s="203">
        <f ca="1">IFERROR(__xludf.DUMMYFUNCTION("IMPORTRANGE(""https://docs.google.com/spreadsheets/d/11923uPwbBZFjjGgGUA6NLw09EwE0CqkOc4q9oUmW1yo/edit?usp=sharing"",""อุตรดิตถ์!J272"")"),10)</f>
        <v>10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IFERROR(__xludf.DUMMYFUNCTION("IMPORTRANGE(""https://docs.google.com/spreadsheets/d/11923uPwbBZFjjGgGUA6NLw09EwE0CqkOc4q9oUmW1yo/edit?usp=sharing"",""อุตรดิตถ์!J273"")"),0)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IFERROR(__xludf.DUMMYFUNCTION("IMPORTRANGE(""https://docs.google.com/spreadsheets/d/11923uPwbBZFjjGgGUA6NLw09EwE0CqkOc4q9oUmW1yo/edit?usp=sharing"",""อุตรดิตถ์!J274"")"),0)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IFERROR(__xludf.DUMMYFUNCTION("IMPORTRANGE(""https://docs.google.com/spreadsheets/d/11923uPwbBZFjjGgGUA6NLw09EwE0CqkOc4q9oUmW1yo/edit?usp=sharing"",""อุตรดิตถ์!I275"")"),1000)</f>
        <v>1000</v>
      </c>
      <c r="J380" s="370">
        <f ca="1">IFERROR(__xludf.DUMMYFUNCTION("IMPORTRANGE(""https://docs.google.com/spreadsheets/d/11923uPwbBZFjjGgGUA6NLw09EwE0CqkOc4q9oUmW1yo/edit?usp=sharing"",""อุตรดิตถ์!J275"")"),0)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IFERROR(__xludf.DUMMYFUNCTION("IMPORTRANGE(""https://docs.google.com/spreadsheets/d/11923uPwbBZFjjGgGUA6NLw09EwE0CqkOc4q9oUmW1yo/edit?usp=sharing"",""อุตรดิตถ์!L275"")"),1028520)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IFERROR(__xludf.DUMMYFUNCTION("IMPORTRANGE(""https://docs.google.com/spreadsheets/d/11923uPwbBZFjjGgGUA6NLw09EwE0CqkOc4q9oUmW1yo/edit?usp=sharing"",""อุตรดิตถ์!M275"")"),303103.3)</f>
        <v>303103.3</v>
      </c>
      <c r="O380" s="372">
        <f ca="1">+IF(L380&gt;0,N380*100/L380,0)</f>
        <v>29.469849881382959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IFERROR(__xludf.DUMMYFUNCTION("IMPORTRANGE(""https://docs.google.com/spreadsheets/d/11923uPwbBZFjjGgGUA6NLw09EwE0CqkOc4q9oUmW1yo/edit?usp=sharing"",""อุตรดิตถ์!I276"")"),100)</f>
        <v>100</v>
      </c>
      <c r="J381" s="370">
        <f ca="1">IFERROR(__xludf.DUMMYFUNCTION("IMPORTRANGE(""https://docs.google.com/spreadsheets/d/11923uPwbBZFjjGgGUA6NLw09EwE0CqkOc4q9oUmW1yo/edit?usp=sharing"",""อุตรดิตถ์!J276"")"),100)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IFERROR(__xludf.DUMMYFUNCTION("IMPORTRANGE(""https://docs.google.com/spreadsheets/d/11923uPwbBZFjjGgGUA6NLw09EwE0CqkOc4q9oUmW1yo/edit?usp=sharing"",""อุตรดิตถ์!L277"")"),0)</f>
        <v>0</v>
      </c>
      <c r="M382" s="164"/>
      <c r="N382" s="164">
        <f ca="1">IFERROR(__xludf.DUMMYFUNCTION("IMPORTRANGE(""https://docs.google.com/spreadsheets/d/11923uPwbBZFjjGgGUA6NLw09EwE0CqkOc4q9oUmW1yo/edit?usp=sharing"",""อุตรดิตถ์!M277"")"),0)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IFERROR(__xludf.DUMMYFUNCTION("IMPORTRANGE(""https://docs.google.com/spreadsheets/d/11923uPwbBZFjjGgGUA6NLw09EwE0CqkOc4q9oUmW1yo/edit?usp=sharing"",""อุตรดิตถ์!L278"")"),1028520)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IFERROR(__xludf.DUMMYFUNCTION("IMPORTRANGE(""https://docs.google.com/spreadsheets/d/11923uPwbBZFjjGgGUA6NLw09EwE0CqkOc4q9oUmW1yo/edit?usp=sharing"",""อุตรดิตถ์!M278"")"),303103.3)</f>
        <v>303103.3</v>
      </c>
      <c r="O383" s="165">
        <f t="shared" ca="1" si="109"/>
        <v>29.469849881382959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IFERROR(__xludf.DUMMYFUNCTION("IMPORTRANGE(""https://docs.google.com/spreadsheets/d/11923uPwbBZFjjGgGUA6NLw09EwE0CqkOc4q9oUmW1yo/edit?usp=sharing"",""อุตรดิตถ์!L279"")"),0)</f>
        <v>0</v>
      </c>
      <c r="M384" s="168"/>
      <c r="N384" s="168">
        <f ca="1">IFERROR(__xludf.DUMMYFUNCTION("IMPORTRANGE(""https://docs.google.com/spreadsheets/d/11923uPwbBZFjjGgGUA6NLw09EwE0CqkOc4q9oUmW1yo/edit?usp=sharing"",""อุตรดิตถ์!M279"")"),0)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IFERROR(__xludf.DUMMYFUNCTION("IMPORTRANGE(""https://docs.google.com/spreadsheets/d/11923uPwbBZFjjGgGUA6NLw09EwE0CqkOc4q9oUmW1yo/edit?usp=sharing"",""อุตรดิตถ์!L280"")"),1028520)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IFERROR(__xludf.DUMMYFUNCTION("IMPORTRANGE(""https://docs.google.com/spreadsheets/d/11923uPwbBZFjjGgGUA6NLw09EwE0CqkOc4q9oUmW1yo/edit?usp=sharing"",""อุตรดิตถ์!M280"")"),303103.3)</f>
        <v>303103.3</v>
      </c>
      <c r="O385" s="168">
        <f t="shared" ca="1" si="109"/>
        <v>29.469849881382959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IFERROR(__xludf.DUMMYFUNCTION("IMPORTRANGE(""https://docs.google.com/spreadsheets/d/11923uPwbBZFjjGgGUA6NLw09EwE0CqkOc4q9oUmW1yo/edit?usp=sharing"",""อุตรดิตถ์!M281"")"),186203)</f>
        <v>186203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IFERROR(__xludf.DUMMYFUNCTION("IMPORTRANGE(""https://docs.google.com/spreadsheets/d/11923uPwbBZFjjGgGUA6NLw09EwE0CqkOc4q9oUmW1yo/edit?usp=sharing"",""อุตรดิตถ์!M282"")"),0)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IFERROR(__xludf.DUMMYFUNCTION("IMPORTRANGE(""https://docs.google.com/spreadsheets/d/11923uPwbBZFjjGgGUA6NLw09EwE0CqkOc4q9oUmW1yo/edit?usp=sharing"",""อุตรดิตถ์!M283"")"),79588)</f>
        <v>79588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IFERROR(__xludf.DUMMYFUNCTION("IMPORTRANGE(""https://docs.google.com/spreadsheets/d/11923uPwbBZFjjGgGUA6NLw09EwE0CqkOc4q9oUmW1yo/edit?usp=sharing"",""อุตรดิตถ์!M284"")"),37312.3)</f>
        <v>37312.300000000003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IFERROR(__xludf.DUMMYFUNCTION("IMPORTRANGE(""https://docs.google.com/spreadsheets/d/11923uPwbBZFjjGgGUA6NLw09EwE0CqkOc4q9oUmW1yo/edit?usp=sharing"",""อุตรดิตถ์!J286"")"),0)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IFERROR(__xludf.DUMMYFUNCTION("IMPORTRANGE(""https://docs.google.com/spreadsheets/d/11923uPwbBZFjjGgGUA6NLw09EwE0CqkOc4q9oUmW1yo/edit?usp=sharing"",""อุตรดิตถ์!J287"")"),1)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IFERROR(__xludf.DUMMYFUNCTION("IMPORTRANGE(""https://docs.google.com/spreadsheets/d/11923uPwbBZFjjGgGUA6NLw09EwE0CqkOc4q9oUmW1yo/edit?usp=sharing"",""อุตรดิตถ์!J288"")"),1)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IFERROR(__xludf.DUMMYFUNCTION("IMPORTRANGE(""https://docs.google.com/spreadsheets/d/11923uPwbBZFjjGgGUA6NLw09EwE0CqkOc4q9oUmW1yo/edit?usp=sharing"",""อุตรดิตถ์!J289"")"),1)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IFERROR(__xludf.DUMMYFUNCTION("IMPORTRANGE(""https://docs.google.com/spreadsheets/d/11923uPwbBZFjjGgGUA6NLw09EwE0CqkOc4q9oUmW1yo/edit?usp=sharing"",""อุตรดิตถ์!I291"")"),100)</f>
        <v>100</v>
      </c>
      <c r="J396" s="197">
        <f ca="1">IFERROR(__xludf.DUMMYFUNCTION("IMPORTRANGE(""https://docs.google.com/spreadsheets/d/11923uPwbBZFjjGgGUA6NLw09EwE0CqkOc4q9oUmW1yo/edit?usp=sharing"",""อุตรดิตถ์!J291"")"),100)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IFERROR(__xludf.DUMMYFUNCTION("IMPORTRANGE(""https://docs.google.com/spreadsheets/d/11923uPwbBZFjjGgGUA6NLw09EwE0CqkOc4q9oUmW1yo/edit?usp=sharing"",""อุตรดิตถ์!I292"")"),1000)</f>
        <v>1000</v>
      </c>
      <c r="J397" s="197">
        <f ca="1">IFERROR(__xludf.DUMMYFUNCTION("IMPORTRANGE(""https://docs.google.com/spreadsheets/d/11923uPwbBZFjjGgGUA6NLw09EwE0CqkOc4q9oUmW1yo/edit?usp=sharing"",""อุตรดิตถ์!J292"")"),0)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IFERROR(__xludf.DUMMYFUNCTION("IMPORTRANGE(""https://docs.google.com/spreadsheets/d/11923uPwbBZFjjGgGUA6NLw09EwE0CqkOc4q9oUmW1yo/edit?usp=sharing"",""อุตรดิตถ์!I293"")"),100)</f>
        <v>100</v>
      </c>
      <c r="J398" s="197">
        <f ca="1">IFERROR(__xludf.DUMMYFUNCTION("IMPORTRANGE(""https://docs.google.com/spreadsheets/d/11923uPwbBZFjjGgGUA6NLw09EwE0CqkOc4q9oUmW1yo/edit?usp=sharing"",""อุตรดิตถ์!J293"")"),0)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IFERROR(__xludf.DUMMYFUNCTION("IMPORTRANGE(""https://docs.google.com/spreadsheets/d/11923uPwbBZFjjGgGUA6NLw09EwE0CqkOc4q9oUmW1yo/edit?usp=sharing"",""อุตรดิตถ์!J294"")"),0)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IFERROR(__xludf.DUMMYFUNCTION("IMPORTRANGE(""https://docs.google.com/spreadsheets/d/11923uPwbBZFjjGgGUA6NLw09EwE0CqkOc4q9oUmW1yo/edit?usp=sharing"",""อุตรดิตถ์!J295"")"),0)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IFERROR(__xludf.DUMMYFUNCTION("IMPORTRANGE(""https://docs.google.com/spreadsheets/d/11923uPwbBZFjjGgGUA6NLw09EwE0CqkOc4q9oUmW1yo/edit?usp=sharing"",""อุตรดิตถ์!I296"")"),135)</f>
        <v>135</v>
      </c>
      <c r="J401" s="370">
        <f ca="1">IFERROR(__xludf.DUMMYFUNCTION("IMPORTRANGE(""https://docs.google.com/spreadsheets/d/11923uPwbBZFjjGgGUA6NLw09EwE0CqkOc4q9oUmW1yo/edit?usp=sharing"",""อุตรดิตถ์!J296"")"),135)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IFERROR(__xludf.DUMMYFUNCTION("IMPORTRANGE(""https://docs.google.com/spreadsheets/d/11923uPwbBZFjjGgGUA6NLw09EwE0CqkOc4q9oUmW1yo/edit?usp=sharing"",""อุตรดิตถ์!L296"")"),159950)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IFERROR(__xludf.DUMMYFUNCTION("IMPORTRANGE(""https://docs.google.com/spreadsheets/d/11923uPwbBZFjjGgGUA6NLw09EwE0CqkOc4q9oUmW1yo/edit?usp=sharing"",""อุตรดิตถ์!M296"")"),134078)</f>
        <v>134078</v>
      </c>
      <c r="O401" s="372">
        <f ca="1">+IF(L401&gt;0,N401*100/L401,0)</f>
        <v>83.824945295404817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IFERROR(__xludf.DUMMYFUNCTION("IMPORTRANGE(""https://docs.google.com/spreadsheets/d/11923uPwbBZFjjGgGUA6NLw09EwE0CqkOc4q9oUmW1yo/edit?usp=sharing"",""อุตรดิตถ์!I297"")"),45)</f>
        <v>45</v>
      </c>
      <c r="J402" s="370">
        <f ca="1">IFERROR(__xludf.DUMMYFUNCTION("IMPORTRANGE(""https://docs.google.com/spreadsheets/d/11923uPwbBZFjjGgGUA6NLw09EwE0CqkOc4q9oUmW1yo/edit?usp=sharing"",""อุตรดิตถ์!J297"")"),45)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IFERROR(__xludf.DUMMYFUNCTION("IMPORTRANGE(""https://docs.google.com/spreadsheets/d/11923uPwbBZFjjGgGUA6NLw09EwE0CqkOc4q9oUmW1yo/edit?usp=sharing"",""อุตรดิตถ์!L298"")"),0)</f>
        <v>0</v>
      </c>
      <c r="M403" s="164"/>
      <c r="N403" s="168">
        <f ca="1">IFERROR(__xludf.DUMMYFUNCTION("IMPORTRANGE(""https://docs.google.com/spreadsheets/d/11923uPwbBZFjjGgGUA6NLw09EwE0CqkOc4q9oUmW1yo/edit?usp=sharing"",""อุตรดิตถ์!M298"")"),0)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IFERROR(__xludf.DUMMYFUNCTION("IMPORTRANGE(""https://docs.google.com/spreadsheets/d/11923uPwbBZFjjGgGUA6NLw09EwE0CqkOc4q9oUmW1yo/edit?usp=sharing"",""อุตรดิตถ์!L299"")"),159950)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IFERROR(__xludf.DUMMYFUNCTION("IMPORTRANGE(""https://docs.google.com/spreadsheets/d/11923uPwbBZFjjGgGUA6NLw09EwE0CqkOc4q9oUmW1yo/edit?usp=sharing"",""อุตรดิตถ์!M299"")"),134078)</f>
        <v>134078</v>
      </c>
      <c r="O404" s="168">
        <f t="shared" ca="1" si="112"/>
        <v>83.824945295404817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IFERROR(__xludf.DUMMYFUNCTION("IMPORTRANGE(""https://docs.google.com/spreadsheets/d/11923uPwbBZFjjGgGUA6NLw09EwE0CqkOc4q9oUmW1yo/edit?usp=sharing"",""อุตรดิตถ์!L300"")"),0)</f>
        <v>0</v>
      </c>
      <c r="M405" s="168"/>
      <c r="N405" s="168">
        <f ca="1">IFERROR(__xludf.DUMMYFUNCTION("IMPORTRANGE(""https://docs.google.com/spreadsheets/d/11923uPwbBZFjjGgGUA6NLw09EwE0CqkOc4q9oUmW1yo/edit?usp=sharing"",""อุตรดิตถ์!M300"")"),0)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IFERROR(__xludf.DUMMYFUNCTION("IMPORTRANGE(""https://docs.google.com/spreadsheets/d/11923uPwbBZFjjGgGUA6NLw09EwE0CqkOc4q9oUmW1yo/edit?usp=sharing"",""อุตรดิตถ์!L301"")"),159950)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IFERROR(__xludf.DUMMYFUNCTION("IMPORTRANGE(""https://docs.google.com/spreadsheets/d/11923uPwbBZFjjGgGUA6NLw09EwE0CqkOc4q9oUmW1yo/edit?usp=sharing"",""อุตรดิตถ์!M301"")"),134078)</f>
        <v>134078</v>
      </c>
      <c r="O406" s="168">
        <f t="shared" ca="1" si="112"/>
        <v>83.824945295404817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IFERROR(__xludf.DUMMYFUNCTION("IMPORTRANGE(""https://docs.google.com/spreadsheets/d/11923uPwbBZFjjGgGUA6NLw09EwE0CqkOc4q9oUmW1yo/edit?usp=sharing"",""อุตรดิตถ์!M302"")"),88756)</f>
        <v>88756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IFERROR(__xludf.DUMMYFUNCTION("IMPORTRANGE(""https://docs.google.com/spreadsheets/d/11923uPwbBZFjjGgGUA6NLw09EwE0CqkOc4q9oUmW1yo/edit?usp=sharing"",""อุตรดิตถ์!M303"")"),32500)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IFERROR(__xludf.DUMMYFUNCTION("IMPORTRANGE(""https://docs.google.com/spreadsheets/d/11923uPwbBZFjjGgGUA6NLw09EwE0CqkOc4q9oUmW1yo/edit?usp=sharing"",""อุตรดิตถ์!M304"")"),0)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IFERROR(__xludf.DUMMYFUNCTION("IMPORTRANGE(""https://docs.google.com/spreadsheets/d/11923uPwbBZFjjGgGUA6NLw09EwE0CqkOc4q9oUmW1yo/edit?usp=sharing"",""อุตรดิตถ์!M305"")"),12822)</f>
        <v>12822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IFERROR(__xludf.DUMMYFUNCTION("IMPORTRANGE(""https://docs.google.com/spreadsheets/d/11923uPwbBZFjjGgGUA6NLw09EwE0CqkOc4q9oUmW1yo/edit?usp=sharing"",""อุตรดิตถ์!J307"")"),0)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IFERROR(__xludf.DUMMYFUNCTION("IMPORTRANGE(""https://docs.google.com/spreadsheets/d/11923uPwbBZFjjGgGUA6NLw09EwE0CqkOc4q9oUmW1yo/edit?usp=sharing"",""อุตรดิตถ์!J308"")"),1)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IFERROR(__xludf.DUMMYFUNCTION("IMPORTRANGE(""https://docs.google.com/spreadsheets/d/11923uPwbBZFjjGgGUA6NLw09EwE0CqkOc4q9oUmW1yo/edit?usp=sharing"",""อุตรดิตถ์!J309"")"),1)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IFERROR(__xludf.DUMMYFUNCTION("IMPORTRANGE(""https://docs.google.com/spreadsheets/d/11923uPwbBZFjjGgGUA6NLw09EwE0CqkOc4q9oUmW1yo/edit?usp=sharing"",""อุตรดิตถ์!J310"")"),1)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IFERROR(__xludf.DUMMYFUNCTION("IMPORTRANGE(""https://docs.google.com/spreadsheets/d/11923uPwbBZFjjGgGUA6NLw09EwE0CqkOc4q9oUmW1yo/edit?usp=sharing"",""อุตรดิตถ์!I311"")"),45)</f>
        <v>45</v>
      </c>
      <c r="J416" s="200">
        <f ca="1">IFERROR(__xludf.DUMMYFUNCTION("IMPORTRANGE(""https://docs.google.com/spreadsheets/d/11923uPwbBZFjjGgGUA6NLw09EwE0CqkOc4q9oUmW1yo/edit?usp=sharing"",""อุตรดิตถ์!J311"")"),45)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IFERROR(__xludf.DUMMYFUNCTION("IMPORTRANGE(""https://docs.google.com/spreadsheets/d/11923uPwbBZFjjGgGUA6NLw09EwE0CqkOc4q9oUmW1yo/edit?usp=sharing"",""อุตรดิตถ์!I312"")"),10)</f>
        <v>10</v>
      </c>
      <c r="J417" s="391">
        <f ca="1">IFERROR(__xludf.DUMMYFUNCTION("IMPORTRANGE(""https://docs.google.com/spreadsheets/d/11923uPwbBZFjjGgGUA6NLw09EwE0CqkOc4q9oUmW1yo/edit?usp=sharing"",""อุตรดิตถ์!J312"")"),10)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IFERROR(__xludf.DUMMYFUNCTION("IMPORTRANGE(""https://docs.google.com/spreadsheets/d/11923uPwbBZFjjGgGUA6NLw09EwE0CqkOc4q9oUmW1yo/edit?usp=sharing"",""อุตรดิตถ์!I313"")"),30)</f>
        <v>30</v>
      </c>
      <c r="J418" s="392">
        <f ca="1">IFERROR(__xludf.DUMMYFUNCTION("IMPORTRANGE(""https://docs.google.com/spreadsheets/d/11923uPwbBZFjjGgGUA6NLw09EwE0CqkOc4q9oUmW1yo/edit?usp=sharing"",""อุตรดิตถ์!J313"")"),30)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IFERROR(__xludf.DUMMYFUNCTION("IMPORTRANGE(""https://docs.google.com/spreadsheets/d/11923uPwbBZFjjGgGUA6NLw09EwE0CqkOc4q9oUmW1yo/edit?usp=sharing"",""อุตรดิตถ์!I314"")"),10)</f>
        <v>10</v>
      </c>
      <c r="J419" s="393">
        <f ca="1">IFERROR(__xludf.DUMMYFUNCTION("IMPORTRANGE(""https://docs.google.com/spreadsheets/d/11923uPwbBZFjjGgGUA6NLw09EwE0CqkOc4q9oUmW1yo/edit?usp=sharing"",""อุตรดิตถ์!J314"")"),10)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IFERROR(__xludf.DUMMYFUNCTION("IMPORTRANGE(""https://docs.google.com/spreadsheets/d/11923uPwbBZFjjGgGUA6NLw09EwE0CqkOc4q9oUmW1yo/edit?usp=sharing"",""อุตรดิตถ์!I315"")"),10)</f>
        <v>10</v>
      </c>
      <c r="J420" s="393">
        <f ca="1">IFERROR(__xludf.DUMMYFUNCTION("IMPORTRANGE(""https://docs.google.com/spreadsheets/d/11923uPwbBZFjjGgGUA6NLw09EwE0CqkOc4q9oUmW1yo/edit?usp=sharing"",""อุตรดิตถ์!J315"")"),10)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IFERROR(__xludf.DUMMYFUNCTION("IMPORTRANGE(""https://docs.google.com/spreadsheets/d/11923uPwbBZFjjGgGUA6NLw09EwE0CqkOc4q9oUmW1yo/edit?usp=sharing"",""อุตรดิตถ์!I316"")"),25)</f>
        <v>25</v>
      </c>
      <c r="J421" s="391">
        <f ca="1">IFERROR(__xludf.DUMMYFUNCTION("IMPORTRANGE(""https://docs.google.com/spreadsheets/d/11923uPwbBZFjjGgGUA6NLw09EwE0CqkOc4q9oUmW1yo/edit?usp=sharing"",""อุตรดิตถ์!J316"")"),25)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IFERROR(__xludf.DUMMYFUNCTION("IMPORTRANGE(""https://docs.google.com/spreadsheets/d/11923uPwbBZFjjGgGUA6NLw09EwE0CqkOc4q9oUmW1yo/edit?usp=sharing"",""อุตรดิตถ์!I317"")"),75)</f>
        <v>75</v>
      </c>
      <c r="J422" s="392">
        <f ca="1">IFERROR(__xludf.DUMMYFUNCTION("IMPORTRANGE(""https://docs.google.com/spreadsheets/d/11923uPwbBZFjjGgGUA6NLw09EwE0CqkOc4q9oUmW1yo/edit?usp=sharing"",""อุตรดิตถ์!J317"")"),75)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IFERROR(__xludf.DUMMYFUNCTION("IMPORTRANGE(""https://docs.google.com/spreadsheets/d/11923uPwbBZFjjGgGUA6NLw09EwE0CqkOc4q9oUmW1yo/edit?usp=sharing"",""อุตรดิตถ์!I318"")"),25)</f>
        <v>25</v>
      </c>
      <c r="J423" s="393">
        <f ca="1">IFERROR(__xludf.DUMMYFUNCTION("IMPORTRANGE(""https://docs.google.com/spreadsheets/d/11923uPwbBZFjjGgGUA6NLw09EwE0CqkOc4q9oUmW1yo/edit?usp=sharing"",""อุตรดิตถ์!J318"")"),25)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IFERROR(__xludf.DUMMYFUNCTION("IMPORTRANGE(""https://docs.google.com/spreadsheets/d/11923uPwbBZFjjGgGUA6NLw09EwE0CqkOc4q9oUmW1yo/edit?usp=sharing"",""อุตรดิตถ์!I319"")"),25)</f>
        <v>25</v>
      </c>
      <c r="J424" s="393">
        <f ca="1">IFERROR(__xludf.DUMMYFUNCTION("IMPORTRANGE(""https://docs.google.com/spreadsheets/d/11923uPwbBZFjjGgGUA6NLw09EwE0CqkOc4q9oUmW1yo/edit?usp=sharing"",""อุตรดิตถ์!J319"")"),25)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IFERROR(__xludf.DUMMYFUNCTION("IMPORTRANGE(""https://docs.google.com/spreadsheets/d/11923uPwbBZFjjGgGUA6NLw09EwE0CqkOc4q9oUmW1yo/edit?usp=sharing"",""อุตรดิตถ์!I320"")"),25)</f>
        <v>25</v>
      </c>
      <c r="J425" s="393">
        <f ca="1">IFERROR(__xludf.DUMMYFUNCTION("IMPORTRANGE(""https://docs.google.com/spreadsheets/d/11923uPwbBZFjjGgGUA6NLw09EwE0CqkOc4q9oUmW1yo/edit?usp=sharing"",""อุตรดิตถ์!J320"")"),25)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IFERROR(__xludf.DUMMYFUNCTION("IMPORTRANGE(""https://docs.google.com/spreadsheets/d/11923uPwbBZFjjGgGUA6NLw09EwE0CqkOc4q9oUmW1yo/edit?usp=sharing"",""อุตรดิตถ์!I321"")"),10)</f>
        <v>10</v>
      </c>
      <c r="J426" s="391">
        <f ca="1">IFERROR(__xludf.DUMMYFUNCTION("IMPORTRANGE(""https://docs.google.com/spreadsheets/d/11923uPwbBZFjjGgGUA6NLw09EwE0CqkOc4q9oUmW1yo/edit?usp=sharing"",""อุตรดิตถ์!J321"")"),10)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IFERROR(__xludf.DUMMYFUNCTION("IMPORTRANGE(""https://docs.google.com/spreadsheets/d/11923uPwbBZFjjGgGUA6NLw09EwE0CqkOc4q9oUmW1yo/edit?usp=sharing"",""อุตรดิตถ์!I322"")"),30)</f>
        <v>30</v>
      </c>
      <c r="J427" s="392">
        <f ca="1">IFERROR(__xludf.DUMMYFUNCTION("IMPORTRANGE(""https://docs.google.com/spreadsheets/d/11923uPwbBZFjjGgGUA6NLw09EwE0CqkOc4q9oUmW1yo/edit?usp=sharing"",""อุตรดิตถ์!J322"")"),30)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IFERROR(__xludf.DUMMYFUNCTION("IMPORTRANGE(""https://docs.google.com/spreadsheets/d/11923uPwbBZFjjGgGUA6NLw09EwE0CqkOc4q9oUmW1yo/edit?usp=sharing"",""อุตรดิตถ์!I323"")"),10)</f>
        <v>10</v>
      </c>
      <c r="J428" s="393">
        <f ca="1">IFERROR(__xludf.DUMMYFUNCTION("IMPORTRANGE(""https://docs.google.com/spreadsheets/d/11923uPwbBZFjjGgGUA6NLw09EwE0CqkOc4q9oUmW1yo/edit?usp=sharing"",""อุตรดิตถ์!J323"")"),10)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IFERROR(__xludf.DUMMYFUNCTION("IMPORTRANGE(""https://docs.google.com/spreadsheets/d/11923uPwbBZFjjGgGUA6NLw09EwE0CqkOc4q9oUmW1yo/edit?usp=sharing"",""อุตรดิตถ์!I324"")"),10)</f>
        <v>10</v>
      </c>
      <c r="J429" s="393">
        <f ca="1">IFERROR(__xludf.DUMMYFUNCTION("IMPORTRANGE(""https://docs.google.com/spreadsheets/d/11923uPwbBZFjjGgGUA6NLw09EwE0CqkOc4q9oUmW1yo/edit?usp=sharing"",""อุตรดิตถ์!J324"")"),10)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IFERROR(__xludf.DUMMYFUNCTION("IMPORTRANGE(""https://docs.google.com/spreadsheets/d/11923uPwbBZFjjGgGUA6NLw09EwE0CqkOc4q9oUmW1yo/edit?usp=sharing"",""อุตรดิตถ์!I325"")"),35)</f>
        <v>35</v>
      </c>
      <c r="J430" s="391">
        <f ca="1">IFERROR(__xludf.DUMMYFUNCTION("IMPORTRANGE(""https://docs.google.com/spreadsheets/d/11923uPwbBZFjjGgGUA6NLw09EwE0CqkOc4q9oUmW1yo/edit?usp=sharing"",""อุตรดิตถ์!J325"")"),35)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IFERROR(__xludf.DUMMYFUNCTION("IMPORTRANGE(""https://docs.google.com/spreadsheets/d/11923uPwbBZFjjGgGUA6NLw09EwE0CqkOc4q9oUmW1yo/edit?usp=sharing"",""อุตรดิตถ์!I326"")"),10)</f>
        <v>10</v>
      </c>
      <c r="J431" s="393">
        <f ca="1">IFERROR(__xludf.DUMMYFUNCTION("IMPORTRANGE(""https://docs.google.com/spreadsheets/d/11923uPwbBZFjjGgGUA6NLw09EwE0CqkOc4q9oUmW1yo/edit?usp=sharing"",""อุตรดิตถ์!J326"")"),10)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IFERROR(__xludf.DUMMYFUNCTION("IMPORTRANGE(""https://docs.google.com/spreadsheets/d/11923uPwbBZFjjGgGUA6NLw09EwE0CqkOc4q9oUmW1yo/edit?usp=sharing"",""อุตรดิตถ์!I327"")"),25)</f>
        <v>25</v>
      </c>
      <c r="J432" s="393">
        <f ca="1">IFERROR(__xludf.DUMMYFUNCTION("IMPORTRANGE(""https://docs.google.com/spreadsheets/d/11923uPwbBZFjjGgGUA6NLw09EwE0CqkOc4q9oUmW1yo/edit?usp=sharing"",""อุตรดิตถ์!J327"")"),25)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IFERROR(__xludf.DUMMYFUNCTION("IMPORTRANGE(""https://docs.google.com/spreadsheets/d/11923uPwbBZFjjGgGUA6NLw09EwE0CqkOc4q9oUmW1yo/edit?usp=sharing"",""อุตรดิตถ์!J328"")"),0)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IFERROR(__xludf.DUMMYFUNCTION("IMPORTRANGE(""https://docs.google.com/spreadsheets/d/11923uPwbBZFjjGgGUA6NLw09EwE0CqkOc4q9oUmW1yo/edit?usp=sharing"",""อุตรดิตถ์!J329"")"),0)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IFERROR(__xludf.DUMMYFUNCTION("IMPORTRANGE(""https://docs.google.com/spreadsheets/d/11923uPwbBZFjjGgGUA6NLw09EwE0CqkOc4q9oUmW1yo/edit?usp=sharing"",""อุตรดิตถ์!I330"")"),20)</f>
        <v>20</v>
      </c>
      <c r="J435" s="409">
        <f ca="1">IFERROR(__xludf.DUMMYFUNCTION("IMPORTRANGE(""https://docs.google.com/spreadsheets/d/11923uPwbBZFjjGgGUA6NLw09EwE0CqkOc4q9oUmW1yo/edit?usp=sharing"",""อุตรดิตถ์!J330"")"),20)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IFERROR(__xludf.DUMMYFUNCTION("IMPORTRANGE(""https://docs.google.com/spreadsheets/d/11923uPwbBZFjjGgGUA6NLw09EwE0CqkOc4q9oUmW1yo/edit?usp=sharing"",""อุตรดิตถ์!L330"")"),100000)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IFERROR(__xludf.DUMMYFUNCTION("IMPORTRANGE(""https://docs.google.com/spreadsheets/d/11923uPwbBZFjjGgGUA6NLw09EwE0CqkOc4q9oUmW1yo/edit?usp=sharing"",""อุตรดิตถ์!M330"")"),74306.9)</f>
        <v>74306.899999999994</v>
      </c>
      <c r="O435" s="411">
        <f t="shared" ref="O435:O439" ca="1" si="114">+IF(L435&gt;0,N435*100/L435,0)</f>
        <v>74.306899999999985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IFERROR(__xludf.DUMMYFUNCTION("IMPORTRANGE(""https://docs.google.com/spreadsheets/d/11923uPwbBZFjjGgGUA6NLw09EwE0CqkOc4q9oUmW1yo/edit?usp=sharing"",""อุตรดิตถ์!L331"")"),0)</f>
        <v>0</v>
      </c>
      <c r="M436" s="164"/>
      <c r="N436" s="168">
        <f ca="1">IFERROR(__xludf.DUMMYFUNCTION("IMPORTRANGE(""https://docs.google.com/spreadsheets/d/11923uPwbBZFjjGgGUA6NLw09EwE0CqkOc4q9oUmW1yo/edit?usp=sharing"",""อุตรดิตถ์!M331"")"),0)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IFERROR(__xludf.DUMMYFUNCTION("IMPORTRANGE(""https://docs.google.com/spreadsheets/d/11923uPwbBZFjjGgGUA6NLw09EwE0CqkOc4q9oUmW1yo/edit?usp=sharing"",""อุตรดิตถ์!L332"")"),100000)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IFERROR(__xludf.DUMMYFUNCTION("IMPORTRANGE(""https://docs.google.com/spreadsheets/d/11923uPwbBZFjjGgGUA6NLw09EwE0CqkOc4q9oUmW1yo/edit?usp=sharing"",""อุตรดิตถ์!M332"")"),74306.9)</f>
        <v>74306.899999999994</v>
      </c>
      <c r="O437" s="168">
        <f t="shared" ca="1" si="114"/>
        <v>74.306899999999985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IFERROR(__xludf.DUMMYFUNCTION("IMPORTRANGE(""https://docs.google.com/spreadsheets/d/11923uPwbBZFjjGgGUA6NLw09EwE0CqkOc4q9oUmW1yo/edit?usp=sharing"",""อุตรดิตถ์!L333"")"),0)</f>
        <v>0</v>
      </c>
      <c r="M438" s="168"/>
      <c r="N438" s="168">
        <f ca="1">IFERROR(__xludf.DUMMYFUNCTION("IMPORTRANGE(""https://docs.google.com/spreadsheets/d/11923uPwbBZFjjGgGUA6NLw09EwE0CqkOc4q9oUmW1yo/edit?usp=sharing"",""อุตรดิตถ์!M333"")"),0)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IFERROR(__xludf.DUMMYFUNCTION("IMPORTRANGE(""https://docs.google.com/spreadsheets/d/11923uPwbBZFjjGgGUA6NLw09EwE0CqkOc4q9oUmW1yo/edit?usp=sharing"",""อุตรดิตถ์!L334"")"),100000)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IFERROR(__xludf.DUMMYFUNCTION("IMPORTRANGE(""https://docs.google.com/spreadsheets/d/11923uPwbBZFjjGgGUA6NLw09EwE0CqkOc4q9oUmW1yo/edit?usp=sharing"",""อุตรดิตถ์!M334"")"),74306.9)</f>
        <v>74306.899999999994</v>
      </c>
      <c r="O439" s="168">
        <f t="shared" ca="1" si="114"/>
        <v>74.306899999999985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IFERROR(__xludf.DUMMYFUNCTION("IMPORTRANGE(""https://docs.google.com/spreadsheets/d/11923uPwbBZFjjGgGUA6NLw09EwE0CqkOc4q9oUmW1yo/edit?usp=sharing"",""อุตรดิตถ์!M335"")"),40358)</f>
        <v>40358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IFERROR(__xludf.DUMMYFUNCTION("IMPORTRANGE(""https://docs.google.com/spreadsheets/d/11923uPwbBZFjjGgGUA6NLw09EwE0CqkOc4q9oUmW1yo/edit?usp=sharing"",""อุตรดิตถ์!M336"")"),0)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IFERROR(__xludf.DUMMYFUNCTION("IMPORTRANGE(""https://docs.google.com/spreadsheets/d/11923uPwbBZFjjGgGUA6NLw09EwE0CqkOc4q9oUmW1yo/edit?usp=sharing"",""อุตรดิตถ์!M337"")"),0)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IFERROR(__xludf.DUMMYFUNCTION("IMPORTRANGE(""https://docs.google.com/spreadsheets/d/11923uPwbBZFjjGgGUA6NLw09EwE0CqkOc4q9oUmW1yo/edit?usp=sharing"",""อุตรดิตถ์!M338"")"),33948.9)</f>
        <v>33948.9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IFERROR(__xludf.DUMMYFUNCTION("IMPORTRANGE(""https://docs.google.com/spreadsheets/d/11923uPwbBZFjjGgGUA6NLw09EwE0CqkOc4q9oUmW1yo/edit?usp=sharing"",""อุตรดิตถ์!J340"")"),0)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IFERROR(__xludf.DUMMYFUNCTION("IMPORTRANGE(""https://docs.google.com/spreadsheets/d/11923uPwbBZFjjGgGUA6NLw09EwE0CqkOc4q9oUmW1yo/edit?usp=sharing"",""อุตรดิตถ์!J341"")"),1)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IFERROR(__xludf.DUMMYFUNCTION("IMPORTRANGE(""https://docs.google.com/spreadsheets/d/11923uPwbBZFjjGgGUA6NLw09EwE0CqkOc4q9oUmW1yo/edit?usp=sharing"",""อุตรดิตถ์!J342"")"),1)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IFERROR(__xludf.DUMMYFUNCTION("IMPORTRANGE(""https://docs.google.com/spreadsheets/d/11923uPwbBZFjjGgGUA6NLw09EwE0CqkOc4q9oUmW1yo/edit?usp=sharing"",""อุตรดิตถ์!J343"")"),1)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IFERROR(__xludf.DUMMYFUNCTION("IMPORTRANGE(""https://docs.google.com/spreadsheets/d/11923uPwbBZFjjGgGUA6NLw09EwE0CqkOc4q9oUmW1yo/edit?usp=sharing"",""อุตรดิตถ์!I344"")"),20)</f>
        <v>20</v>
      </c>
      <c r="J449" s="200">
        <f ca="1">IFERROR(__xludf.DUMMYFUNCTION("IMPORTRANGE(""https://docs.google.com/spreadsheets/d/11923uPwbBZFjjGgGUA6NLw09EwE0CqkOc4q9oUmW1yo/edit?usp=sharing"",""อุตรดิตถ์!J344"")"),20)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IFERROR(__xludf.DUMMYFUNCTION("IMPORTRANGE(""https://docs.google.com/spreadsheets/d/11923uPwbBZFjjGgGUA6NLw09EwE0CqkOc4q9oUmW1yo/edit?usp=sharing"",""อุตรดิตถ์!I345"")"),20)</f>
        <v>20</v>
      </c>
      <c r="J450" s="188">
        <f ca="1">IFERROR(__xludf.DUMMYFUNCTION("IMPORTRANGE(""https://docs.google.com/spreadsheets/d/11923uPwbBZFjjGgGUA6NLw09EwE0CqkOc4q9oUmW1yo/edit?usp=sharing"",""อุตรดิตถ์!J345"")"),20)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IFERROR(__xludf.DUMMYFUNCTION("IMPORTRANGE(""https://docs.google.com/spreadsheets/d/11923uPwbBZFjjGgGUA6NLw09EwE0CqkOc4q9oUmW1yo/edit?usp=sharing"",""อุตรดิตถ์!I346"")"),0)</f>
        <v>0</v>
      </c>
      <c r="J451" s="187">
        <f ca="1">IFERROR(__xludf.DUMMYFUNCTION("IMPORTRANGE(""https://docs.google.com/spreadsheets/d/11923uPwbBZFjjGgGUA6NLw09EwE0CqkOc4q9oUmW1yo/edit?usp=sharing"",""อุตรดิตถ์!J346"")"),0)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IFERROR(__xludf.DUMMYFUNCTION("IMPORTRANGE(""https://docs.google.com/spreadsheets/d/11923uPwbBZFjjGgGUA6NLw09EwE0CqkOc4q9oUmW1yo/edit?usp=sharing"",""อุตรดิตถ์!I347"")"),0)</f>
        <v>0</v>
      </c>
      <c r="J452" s="187">
        <f ca="1">IFERROR(__xludf.DUMMYFUNCTION("IMPORTRANGE(""https://docs.google.com/spreadsheets/d/11923uPwbBZFjjGgGUA6NLw09EwE0CqkOc4q9oUmW1yo/edit?usp=sharing"",""อุตรดิตถ์!J347"")"),0)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IFERROR(__xludf.DUMMYFUNCTION("IMPORTRANGE(""https://docs.google.com/spreadsheets/d/11923uPwbBZFjjGgGUA6NLw09EwE0CqkOc4q9oUmW1yo/edit?usp=sharing"",""อุตรดิตถ์!J348"")"),0)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IFERROR(__xludf.DUMMYFUNCTION("IMPORTRANGE(""https://docs.google.com/spreadsheets/d/11923uPwbBZFjjGgGUA6NLw09EwE0CqkOc4q9oUmW1yo/edit?usp=sharing"",""อุตรดิตถ์!J349"")"),0)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IFERROR(__xludf.DUMMYFUNCTION("IMPORTRANGE(""https://docs.google.com/spreadsheets/d/11923uPwbBZFjjGgGUA6NLw09EwE0CqkOc4q9oUmW1yo/edit?usp=sharing"",""อุตรดิตถ์!I350"")"),27138)</f>
        <v>27138</v>
      </c>
      <c r="J455" s="370">
        <f ca="1">IFERROR(__xludf.DUMMYFUNCTION("IMPORTRANGE(""https://docs.google.com/spreadsheets/d/11923uPwbBZFjjGgGUA6NLw09EwE0CqkOc4q9oUmW1yo/edit?usp=sharing"",""อุตรดิตถ์!J350"")"),26148)</f>
        <v>26148</v>
      </c>
      <c r="K455" s="371">
        <f ca="1">IF(I455&gt;0,J455*100/I455,0)</f>
        <v>96.351978775149234</v>
      </c>
      <c r="L455" s="372">
        <f ca="1">IFERROR(__xludf.DUMMYFUNCTION("IMPORTRANGE(""https://docs.google.com/spreadsheets/d/11923uPwbBZFjjGgGUA6NLw09EwE0CqkOc4q9oUmW1yo/edit?usp=sharing"",""อุตรดิตถ์!L350"")"),190727)</f>
        <v>190727</v>
      </c>
      <c r="M455" s="372"/>
      <c r="N455" s="372">
        <f ca="1">IFERROR(__xludf.DUMMYFUNCTION("IMPORTRANGE(""https://docs.google.com/spreadsheets/d/11923uPwbBZFjjGgGUA6NLw09EwE0CqkOc4q9oUmW1yo/edit?usp=sharing"",""อุตรดิตถ์!M350"")"),111458.69)</f>
        <v>111458.69</v>
      </c>
      <c r="O455" s="372">
        <f t="shared" ref="O455:O459" ca="1" si="116">+IF(L455&gt;0,N455*100/L455,0)</f>
        <v>58.438862877306306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IFERROR(__xludf.DUMMYFUNCTION("IMPORTRANGE(""https://docs.google.com/spreadsheets/d/11923uPwbBZFjjGgGUA6NLw09EwE0CqkOc4q9oUmW1yo/edit?usp=sharing"",""อุตรดิตถ์!L351"")"),0)</f>
        <v>0</v>
      </c>
      <c r="M456" s="164"/>
      <c r="N456" s="168">
        <f ca="1">IFERROR(__xludf.DUMMYFUNCTION("IMPORTRANGE(""https://docs.google.com/spreadsheets/d/11923uPwbBZFjjGgGUA6NLw09EwE0CqkOc4q9oUmW1yo/edit?usp=sharing"",""อุตรดิตถ์!M351"")"),0)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IFERROR(__xludf.DUMMYFUNCTION("IMPORTRANGE(""https://docs.google.com/spreadsheets/d/11923uPwbBZFjjGgGUA6NLw09EwE0CqkOc4q9oUmW1yo/edit?usp=sharing"",""อุตรดิตถ์!L352"")"),190727)</f>
        <v>190727</v>
      </c>
      <c r="M457" s="165"/>
      <c r="N457" s="168">
        <f ca="1">IFERROR(__xludf.DUMMYFUNCTION("IMPORTRANGE(""https://docs.google.com/spreadsheets/d/11923uPwbBZFjjGgGUA6NLw09EwE0CqkOc4q9oUmW1yo/edit?usp=sharing"",""อุตรดิตถ์!M352"")"),111458.69)</f>
        <v>111458.69</v>
      </c>
      <c r="O457" s="168">
        <f t="shared" ca="1" si="116"/>
        <v>58.438862877306306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IFERROR(__xludf.DUMMYFUNCTION("IMPORTRANGE(""https://docs.google.com/spreadsheets/d/11923uPwbBZFjjGgGUA6NLw09EwE0CqkOc4q9oUmW1yo/edit?usp=sharing"",""อุตรดิตถ์!L353"")"),0)</f>
        <v>0</v>
      </c>
      <c r="M458" s="168"/>
      <c r="N458" s="168">
        <f ca="1">IFERROR(__xludf.DUMMYFUNCTION("IMPORTRANGE(""https://docs.google.com/spreadsheets/d/11923uPwbBZFjjGgGUA6NLw09EwE0CqkOc4q9oUmW1yo/edit?usp=sharing"",""อุตรดิตถ์!M353"")"),0)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IFERROR(__xludf.DUMMYFUNCTION("IMPORTRANGE(""https://docs.google.com/spreadsheets/d/11923uPwbBZFjjGgGUA6NLw09EwE0CqkOc4q9oUmW1yo/edit?usp=sharing"",""อุตรดิตถ์!L354"")"),190727)</f>
        <v>190727</v>
      </c>
      <c r="M459" s="168"/>
      <c r="N459" s="168">
        <f ca="1">IFERROR(__xludf.DUMMYFUNCTION("IMPORTRANGE(""https://docs.google.com/spreadsheets/d/11923uPwbBZFjjGgGUA6NLw09EwE0CqkOc4q9oUmW1yo/edit?usp=sharing"",""อุตรดิตถ์!M354"")"),111458.69)</f>
        <v>111458.69</v>
      </c>
      <c r="O459" s="168">
        <f t="shared" ca="1" si="116"/>
        <v>58.438862877306306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IFERROR(__xludf.DUMMYFUNCTION("IMPORTRANGE(""https://docs.google.com/spreadsheets/d/11923uPwbBZFjjGgGUA6NLw09EwE0CqkOc4q9oUmW1yo/edit?usp=sharing"",""อุตรดิตถ์!M355"")"),0)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IFERROR(__xludf.DUMMYFUNCTION("IMPORTRANGE(""https://docs.google.com/spreadsheets/d/11923uPwbBZFjjGgGUA6NLw09EwE0CqkOc4q9oUmW1yo/edit?usp=sharing"",""อุตรดิตถ์!M356"")"),0)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IFERROR(__xludf.DUMMYFUNCTION("IMPORTRANGE(""https://docs.google.com/spreadsheets/d/11923uPwbBZFjjGgGUA6NLw09EwE0CqkOc4q9oUmW1yo/edit?usp=sharing"",""อุตรดิตถ์!M357"")"),0)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IFERROR(__xludf.DUMMYFUNCTION("IMPORTRANGE(""https://docs.google.com/spreadsheets/d/11923uPwbBZFjjGgGUA6NLw09EwE0CqkOc4q9oUmW1yo/edit?usp=sharing"",""อุตรดิตถ์!M358"")"),111458.69)</f>
        <v>111458.69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IFERROR(__xludf.DUMMYFUNCTION("IMPORTRANGE(""https://docs.google.com/spreadsheets/d/11923uPwbBZFjjGgGUA6NLw09EwE0CqkOc4q9oUmW1yo/edit?usp=sharing"",""อุตรดิตถ์!I359"")"),27138)</f>
        <v>27138</v>
      </c>
      <c r="J464" s="267">
        <f ca="1">IFERROR(__xludf.DUMMYFUNCTION("IMPORTRANGE(""https://docs.google.com/spreadsheets/d/11923uPwbBZFjjGgGUA6NLw09EwE0CqkOc4q9oUmW1yo/edit?usp=sharing"",""อุตรดิตถ์!J359"")"),26148)</f>
        <v>26148</v>
      </c>
      <c r="K464" s="268">
        <f t="shared" ref="K464:K515" ca="1" si="117">IF(I464&gt;0,J464*100/I464,0)</f>
        <v>96.351978775149234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IFERROR(__xludf.DUMMYFUNCTION("IMPORTRANGE(""https://docs.google.com/spreadsheets/d/11923uPwbBZFjjGgGUA6NLw09EwE0CqkOc4q9oUmW1yo/edit?usp=sharing"",""อุตรดิตถ์!I360"")"),27138)</f>
        <v>27138</v>
      </c>
      <c r="J465" s="420">
        <f ca="1">IFERROR(__xludf.DUMMYFUNCTION("IMPORTRANGE(""https://docs.google.com/spreadsheets/d/11923uPwbBZFjjGgGUA6NLw09EwE0CqkOc4q9oUmW1yo/edit?usp=sharing"",""อุตรดิตถ์!J360"")"),27156.34)</f>
        <v>27156.34</v>
      </c>
      <c r="K465" s="201">
        <f t="shared" ca="1" si="117"/>
        <v>100.06758051440784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IFERROR(__xludf.DUMMYFUNCTION("IMPORTRANGE(""https://docs.google.com/spreadsheets/d/11923uPwbBZFjjGgGUA6NLw09EwE0CqkOc4q9oUmW1yo/edit?usp=sharing"",""อุตรดิตถ์!I361"")"),2764)</f>
        <v>2764</v>
      </c>
      <c r="J466" s="420">
        <f ca="1">IFERROR(__xludf.DUMMYFUNCTION("IMPORTRANGE(""https://docs.google.com/spreadsheets/d/11923uPwbBZFjjGgGUA6NLw09EwE0CqkOc4q9oUmW1yo/edit?usp=sharing"",""อุตรดิตถ์!J361"")"),2764)</f>
        <v>2764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IFERROR(__xludf.DUMMYFUNCTION("IMPORTRANGE(""https://docs.google.com/spreadsheets/d/11923uPwbBZFjjGgGUA6NLw09EwE0CqkOc4q9oUmW1yo/edit?usp=sharing"",""อุตรดิตถ์!I362"")"),0)</f>
        <v>0</v>
      </c>
      <c r="J467" s="188">
        <f ca="1">IFERROR(__xludf.DUMMYFUNCTION("IMPORTRANGE(""https://docs.google.com/spreadsheets/d/11923uPwbBZFjjGgGUA6NLw09EwE0CqkOc4q9oUmW1yo/edit?usp=sharing"",""อุตรดิตถ์!J362"")"),25214)</f>
        <v>25214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IFERROR(__xludf.DUMMYFUNCTION("IMPORTRANGE(""https://docs.google.com/spreadsheets/d/11923uPwbBZFjjGgGUA6NLw09EwE0CqkOc4q9oUmW1yo/edit?usp=sharing"",""อุตรดิตถ์!I363"")"),0)</f>
        <v>0</v>
      </c>
      <c r="J468" s="188">
        <f ca="1">IFERROR(__xludf.DUMMYFUNCTION("IMPORTRANGE(""https://docs.google.com/spreadsheets/d/11923uPwbBZFjjGgGUA6NLw09EwE0CqkOc4q9oUmW1yo/edit?usp=sharing"",""อุตรดิตถ์!J363"")"),2565)</f>
        <v>2565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IFERROR(__xludf.DUMMYFUNCTION("IMPORTRANGE(""https://docs.google.com/spreadsheets/d/11923uPwbBZFjjGgGUA6NLw09EwE0CqkOc4q9oUmW1yo/edit?usp=sharing"",""อุตรดิตถ์!I364"")"),0)</f>
        <v>0</v>
      </c>
      <c r="J469" s="188">
        <f ca="1">IFERROR(__xludf.DUMMYFUNCTION("IMPORTRANGE(""https://docs.google.com/spreadsheets/d/11923uPwbBZFjjGgGUA6NLw09EwE0CqkOc4q9oUmW1yo/edit?usp=sharing"",""อุตรดิตถ์!J364"")"),1492.34)</f>
        <v>1492.34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IFERROR(__xludf.DUMMYFUNCTION("IMPORTRANGE(""https://docs.google.com/spreadsheets/d/11923uPwbBZFjjGgGUA6NLw09EwE0CqkOc4q9oUmW1yo/edit?usp=sharing"",""อุตรดิตถ์!I365"")"),0)</f>
        <v>0</v>
      </c>
      <c r="J470" s="188">
        <f ca="1">IFERROR(__xludf.DUMMYFUNCTION("IMPORTRANGE(""https://docs.google.com/spreadsheets/d/11923uPwbBZFjjGgGUA6NLw09EwE0CqkOc4q9oUmW1yo/edit?usp=sharing"",""อุตรดิตถ์!J365"")"),151)</f>
        <v>151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IFERROR(__xludf.DUMMYFUNCTION("IMPORTRANGE(""https://docs.google.com/spreadsheets/d/11923uPwbBZFjjGgGUA6NLw09EwE0CqkOc4q9oUmW1yo/edit?usp=sharing"",""อุตรดิตถ์!I366"")"),0)</f>
        <v>0</v>
      </c>
      <c r="J471" s="188">
        <f ca="1">IFERROR(__xludf.DUMMYFUNCTION("IMPORTRANGE(""https://docs.google.com/spreadsheets/d/11923uPwbBZFjjGgGUA6NLw09EwE0CqkOc4q9oUmW1yo/edit?usp=sharing"",""อุตรดิตถ์!J366"")"),450)</f>
        <v>450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IFERROR(__xludf.DUMMYFUNCTION("IMPORTRANGE(""https://docs.google.com/spreadsheets/d/11923uPwbBZFjjGgGUA6NLw09EwE0CqkOc4q9oUmW1yo/edit?usp=sharing"",""อุตรดิตถ์!I367"")"),0)</f>
        <v>0</v>
      </c>
      <c r="J472" s="188">
        <f ca="1">IFERROR(__xludf.DUMMYFUNCTION("IMPORTRANGE(""https://docs.google.com/spreadsheets/d/11923uPwbBZFjjGgGUA6NLw09EwE0CqkOc4q9oUmW1yo/edit?usp=sharing"",""อุตรดิตถ์!J367"")"),48)</f>
        <v>48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IFERROR(__xludf.DUMMYFUNCTION("IMPORTRANGE(""https://docs.google.com/spreadsheets/d/11923uPwbBZFjjGgGUA6NLw09EwE0CqkOc4q9oUmW1yo/edit?usp=sharing"",""อุตรดิตถ์!I368"")"),27138)</f>
        <v>27138</v>
      </c>
      <c r="J473" s="420">
        <f ca="1">IFERROR(__xludf.DUMMYFUNCTION("IMPORTRANGE(""https://docs.google.com/spreadsheets/d/11923uPwbBZFjjGgGUA6NLw09EwE0CqkOc4q9oUmW1yo/edit?usp=sharing"",""อุตรดิตถ์!J368"")"),27142.65)</f>
        <v>27142.65</v>
      </c>
      <c r="K473" s="201">
        <f t="shared" ca="1" si="117"/>
        <v>100.01713464514702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IFERROR(__xludf.DUMMYFUNCTION("IMPORTRANGE(""https://docs.google.com/spreadsheets/d/11923uPwbBZFjjGgGUA6NLw09EwE0CqkOc4q9oUmW1yo/edit?usp=sharing"",""อุตรดิตถ์!I369"")"),2764)</f>
        <v>2764</v>
      </c>
      <c r="J474" s="420">
        <f ca="1">IFERROR(__xludf.DUMMYFUNCTION("IMPORTRANGE(""https://docs.google.com/spreadsheets/d/11923uPwbBZFjjGgGUA6NLw09EwE0CqkOc4q9oUmW1yo/edit?usp=sharing"",""อุตรดิตถ์!J369"")"),2765)</f>
        <v>2765</v>
      </c>
      <c r="K474" s="163">
        <f t="shared" ca="1" si="117"/>
        <v>100.03617945007235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IFERROR(__xludf.DUMMYFUNCTION("IMPORTRANGE(""https://docs.google.com/spreadsheets/d/11923uPwbBZFjjGgGUA6NLw09EwE0CqkOc4q9oUmW1yo/edit?usp=sharing"",""อุตรดิตถ์!I370"")"),0)</f>
        <v>0</v>
      </c>
      <c r="J475" s="188">
        <f ca="1">IFERROR(__xludf.DUMMYFUNCTION("IMPORTRANGE(""https://docs.google.com/spreadsheets/d/11923uPwbBZFjjGgGUA6NLw09EwE0CqkOc4q9oUmW1yo/edit?usp=sharing"",""อุตรดิตถ์!J370"")"),25677.4)</f>
        <v>25677.4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IFERROR(__xludf.DUMMYFUNCTION("IMPORTRANGE(""https://docs.google.com/spreadsheets/d/11923uPwbBZFjjGgGUA6NLw09EwE0CqkOc4q9oUmW1yo/edit?usp=sharing"",""อุตรดิตถ์!I371"")"),0)</f>
        <v>0</v>
      </c>
      <c r="J476" s="188">
        <f ca="1">IFERROR(__xludf.DUMMYFUNCTION("IMPORTRANGE(""https://docs.google.com/spreadsheets/d/11923uPwbBZFjjGgGUA6NLw09EwE0CqkOc4q9oUmW1yo/edit?usp=sharing"",""อุตรดิตถ์!J371"")"),2618)</f>
        <v>2618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IFERROR(__xludf.DUMMYFUNCTION("IMPORTRANGE(""https://docs.google.com/spreadsheets/d/11923uPwbBZFjjGgGUA6NLw09EwE0CqkOc4q9oUmW1yo/edit?usp=sharing"",""อุตรดิตถ์!I372"")"),0)</f>
        <v>0</v>
      </c>
      <c r="J477" s="188">
        <f ca="1">IFERROR(__xludf.DUMMYFUNCTION("IMPORTRANGE(""https://docs.google.com/spreadsheets/d/11923uPwbBZFjjGgGUA6NLw09EwE0CqkOc4q9oUmW1yo/edit?usp=sharing"",""อุตรดิตถ์!J372"")"),994.25)</f>
        <v>994.25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IFERROR(__xludf.DUMMYFUNCTION("IMPORTRANGE(""https://docs.google.com/spreadsheets/d/11923uPwbBZFjjGgGUA6NLw09EwE0CqkOc4q9oUmW1yo/edit?usp=sharing"",""อุตรดิตถ์!I373"")"),0)</f>
        <v>0</v>
      </c>
      <c r="J478" s="188">
        <f ca="1">IFERROR(__xludf.DUMMYFUNCTION("IMPORTRANGE(""https://docs.google.com/spreadsheets/d/11923uPwbBZFjjGgGUA6NLw09EwE0CqkOc4q9oUmW1yo/edit?usp=sharing"",""อุตรดิตถ์!J373"")"),94)</f>
        <v>94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IFERROR(__xludf.DUMMYFUNCTION("IMPORTRANGE(""https://docs.google.com/spreadsheets/d/11923uPwbBZFjjGgGUA6NLw09EwE0CqkOc4q9oUmW1yo/edit?usp=sharing"",""อุตรดิตถ์!I374"")"),0)</f>
        <v>0</v>
      </c>
      <c r="J479" s="188">
        <f ca="1">IFERROR(__xludf.DUMMYFUNCTION("IMPORTRANGE(""https://docs.google.com/spreadsheets/d/11923uPwbBZFjjGgGUA6NLw09EwE0CqkOc4q9oUmW1yo/edit?usp=sharing"",""อุตรดิตถ์!J374"")"),471)</f>
        <v>471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IFERROR(__xludf.DUMMYFUNCTION("IMPORTRANGE(""https://docs.google.com/spreadsheets/d/11923uPwbBZFjjGgGUA6NLw09EwE0CqkOc4q9oUmW1yo/edit?usp=sharing"",""อุตรดิตถ์!I375"")"),0)</f>
        <v>0</v>
      </c>
      <c r="J480" s="188">
        <f ca="1">IFERROR(__xludf.DUMMYFUNCTION("IMPORTRANGE(""https://docs.google.com/spreadsheets/d/11923uPwbBZFjjGgGUA6NLw09EwE0CqkOc4q9oUmW1yo/edit?usp=sharing"",""อุตรดิตถ์!J375"")"),53)</f>
        <v>53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IFERROR(__xludf.DUMMYFUNCTION("IMPORTRANGE(""https://docs.google.com/spreadsheets/d/11923uPwbBZFjjGgGUA6NLw09EwE0CqkOc4q9oUmW1yo/edit?usp=sharing"",""อุตรดิตถ์!I376"")"),27138)</f>
        <v>27138</v>
      </c>
      <c r="J481" s="420">
        <f ca="1">IFERROR(__xludf.DUMMYFUNCTION("IMPORTRANGE(""https://docs.google.com/spreadsheets/d/11923uPwbBZFjjGgGUA6NLw09EwE0CqkOc4q9oUmW1yo/edit?usp=sharing"",""อุตรดิตถ์!J376"")"),26148)</f>
        <v>26148</v>
      </c>
      <c r="K481" s="201">
        <f t="shared" ca="1" si="117"/>
        <v>96.351978775149234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IFERROR(__xludf.DUMMYFUNCTION("IMPORTRANGE(""https://docs.google.com/spreadsheets/d/11923uPwbBZFjjGgGUA6NLw09EwE0CqkOc4q9oUmW1yo/edit?usp=sharing"",""อุตรดิตถ์!I377"")"),2764)</f>
        <v>2764</v>
      </c>
      <c r="J482" s="420">
        <f ca="1">IFERROR(__xludf.DUMMYFUNCTION("IMPORTRANGE(""https://docs.google.com/spreadsheets/d/11923uPwbBZFjjGgGUA6NLw09EwE0CqkOc4q9oUmW1yo/edit?usp=sharing"",""อุตรดิตถ์!J377"")"),2671)</f>
        <v>2671</v>
      </c>
      <c r="K482" s="163">
        <f t="shared" ca="1" si="117"/>
        <v>96.635311143270627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IFERROR(__xludf.DUMMYFUNCTION("IMPORTRANGE(""https://docs.google.com/spreadsheets/d/11923uPwbBZFjjGgGUA6NLw09EwE0CqkOc4q9oUmW1yo/edit?usp=sharing"",""อุตรดิตถ์!I378"")"),0)</f>
        <v>0</v>
      </c>
      <c r="J483" s="188">
        <f ca="1">IFERROR(__xludf.DUMMYFUNCTION("IMPORTRANGE(""https://docs.google.com/spreadsheets/d/11923uPwbBZFjjGgGUA6NLw09EwE0CqkOc4q9oUmW1yo/edit?usp=sharing"",""อุตรดิตถ์!J378"")"),25677)</f>
        <v>25677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IFERROR(__xludf.DUMMYFUNCTION("IMPORTRANGE(""https://docs.google.com/spreadsheets/d/11923uPwbBZFjjGgGUA6NLw09EwE0CqkOc4q9oUmW1yo/edit?usp=sharing"",""อุตรดิตถ์!I379"")"),0)</f>
        <v>0</v>
      </c>
      <c r="J484" s="188">
        <f ca="1">IFERROR(__xludf.DUMMYFUNCTION("IMPORTRANGE(""https://docs.google.com/spreadsheets/d/11923uPwbBZFjjGgGUA6NLw09EwE0CqkOc4q9oUmW1yo/edit?usp=sharing"",""อุตรดิตถ์!J379"")"),2618)</f>
        <v>2618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IFERROR(__xludf.DUMMYFUNCTION("IMPORTRANGE(""https://docs.google.com/spreadsheets/d/11923uPwbBZFjjGgGUA6NLw09EwE0CqkOc4q9oUmW1yo/edit?usp=sharing"",""อุตรดิตถ์!I380"")"),0)</f>
        <v>0</v>
      </c>
      <c r="J485" s="188">
        <f ca="1">IFERROR(__xludf.DUMMYFUNCTION("IMPORTRANGE(""https://docs.google.com/spreadsheets/d/11923uPwbBZFjjGgGUA6NLw09EwE0CqkOc4q9oUmW1yo/edit?usp=sharing"",""อุตรดิตถ์!J380"")"),0)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IFERROR(__xludf.DUMMYFUNCTION("IMPORTRANGE(""https://docs.google.com/spreadsheets/d/11923uPwbBZFjjGgGUA6NLw09EwE0CqkOc4q9oUmW1yo/edit?usp=sharing"",""อุตรดิตถ์!I381"")"),0)</f>
        <v>0</v>
      </c>
      <c r="J486" s="188">
        <f ca="1">IFERROR(__xludf.DUMMYFUNCTION("IMPORTRANGE(""https://docs.google.com/spreadsheets/d/11923uPwbBZFjjGgGUA6NLw09EwE0CqkOc4q9oUmW1yo/edit?usp=sharing"",""อุตรดิตถ์!J381"")"),0)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IFERROR(__xludf.DUMMYFUNCTION("IMPORTRANGE(""https://docs.google.com/spreadsheets/d/11923uPwbBZFjjGgGUA6NLw09EwE0CqkOc4q9oUmW1yo/edit?usp=sharing"",""อุตรดิตถ์!I382"")"),0)</f>
        <v>0</v>
      </c>
      <c r="J487" s="420">
        <f ca="1">IFERROR(__xludf.DUMMYFUNCTION("IMPORTRANGE(""https://docs.google.com/spreadsheets/d/11923uPwbBZFjjGgGUA6NLw09EwE0CqkOc4q9oUmW1yo/edit?usp=sharing"",""อุตรดิตถ์!J382"")"),471)</f>
        <v>471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IFERROR(__xludf.DUMMYFUNCTION("IMPORTRANGE(""https://docs.google.com/spreadsheets/d/11923uPwbBZFjjGgGUA6NLw09EwE0CqkOc4q9oUmW1yo/edit?usp=sharing"",""อุตรดิตถ์!I383"")"),0)</f>
        <v>0</v>
      </c>
      <c r="J488" s="420">
        <f ca="1">IFERROR(__xludf.DUMMYFUNCTION("IMPORTRANGE(""https://docs.google.com/spreadsheets/d/11923uPwbBZFjjGgGUA6NLw09EwE0CqkOc4q9oUmW1yo/edit?usp=sharing"",""อุตรดิตถ์!J383"")"),53)</f>
        <v>53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IFERROR(__xludf.DUMMYFUNCTION("IMPORTRANGE(""https://docs.google.com/spreadsheets/d/11923uPwbBZFjjGgGUA6NLw09EwE0CqkOc4q9oUmW1yo/edit?usp=sharing"",""อุตรดิตถ์!I384"")"),0)</f>
        <v>0</v>
      </c>
      <c r="J489" s="188">
        <f ca="1">IFERROR(__xludf.DUMMYFUNCTION("IMPORTRANGE(""https://docs.google.com/spreadsheets/d/11923uPwbBZFjjGgGUA6NLw09EwE0CqkOc4q9oUmW1yo/edit?usp=sharing"",""อุตรดิตถ์!J384"")"),471)</f>
        <v>471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IFERROR(__xludf.DUMMYFUNCTION("IMPORTRANGE(""https://docs.google.com/spreadsheets/d/11923uPwbBZFjjGgGUA6NLw09EwE0CqkOc4q9oUmW1yo/edit?usp=sharing"",""อุตรดิตถ์!I385"")"),0)</f>
        <v>0</v>
      </c>
      <c r="J490" s="188">
        <f ca="1">IFERROR(__xludf.DUMMYFUNCTION("IMPORTRANGE(""https://docs.google.com/spreadsheets/d/11923uPwbBZFjjGgGUA6NLw09EwE0CqkOc4q9oUmW1yo/edit?usp=sharing"",""อุตรดิตถ์!J385"")"),53)</f>
        <v>53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IFERROR(__xludf.DUMMYFUNCTION("IMPORTRANGE(""https://docs.google.com/spreadsheets/d/11923uPwbBZFjjGgGUA6NLw09EwE0CqkOc4q9oUmW1yo/edit?usp=sharing"",""อุตรดิตถ์!I386"")"),0)</f>
        <v>0</v>
      </c>
      <c r="J491" s="188">
        <f ca="1">IFERROR(__xludf.DUMMYFUNCTION("IMPORTRANGE(""https://docs.google.com/spreadsheets/d/11923uPwbBZFjjGgGUA6NLw09EwE0CqkOc4q9oUmW1yo/edit?usp=sharing"",""อุตรดิตถ์!J386"")"),0)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IFERROR(__xludf.DUMMYFUNCTION("IMPORTRANGE(""https://docs.google.com/spreadsheets/d/11923uPwbBZFjjGgGUA6NLw09EwE0CqkOc4q9oUmW1yo/edit?usp=sharing"",""อุตรดิตถ์!I387"")"),0)</f>
        <v>0</v>
      </c>
      <c r="J492" s="188">
        <f ca="1">IFERROR(__xludf.DUMMYFUNCTION("IMPORTRANGE(""https://docs.google.com/spreadsheets/d/11923uPwbBZFjjGgGUA6NLw09EwE0CqkOc4q9oUmW1yo/edit?usp=sharing"",""อุตรดิตถ์!J387"")"),0)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IFERROR(__xludf.DUMMYFUNCTION("IMPORTRANGE(""https://docs.google.com/spreadsheets/d/11923uPwbBZFjjGgGUA6NLw09EwE0CqkOc4q9oUmW1yo/edit?usp=sharing"",""อุตรดิตถ์!I388"")"),0)</f>
        <v>0</v>
      </c>
      <c r="J493" s="188">
        <f ca="1">IFERROR(__xludf.DUMMYFUNCTION("IMPORTRANGE(""https://docs.google.com/spreadsheets/d/11923uPwbBZFjjGgGUA6NLw09EwE0CqkOc4q9oUmW1yo/edit?usp=sharing"",""อุตรดิตถ์!J388"")"),0)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IFERROR(__xludf.DUMMYFUNCTION("IMPORTRANGE(""https://docs.google.com/spreadsheets/d/11923uPwbBZFjjGgGUA6NLw09EwE0CqkOc4q9oUmW1yo/edit?usp=sharing"",""อุตรดิตถ์!I389"")"),0)</f>
        <v>0</v>
      </c>
      <c r="J494" s="436">
        <f ca="1">IFERROR(__xludf.DUMMYFUNCTION("IMPORTRANGE(""https://docs.google.com/spreadsheets/d/11923uPwbBZFjjGgGUA6NLw09EwE0CqkOc4q9oUmW1yo/edit?usp=sharing"",""อุตรดิตถ์!J389"")"),0)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IFERROR(__xludf.DUMMYFUNCTION("IMPORTRANGE(""https://docs.google.com/spreadsheets/d/11923uPwbBZFjjGgGUA6NLw09EwE0CqkOc4q9oUmW1yo/edit?usp=sharing"",""อุตรดิตถ์!I390"")"),0)</f>
        <v>0</v>
      </c>
      <c r="J495" s="436">
        <f ca="1">IFERROR(__xludf.DUMMYFUNCTION("IMPORTRANGE(""https://docs.google.com/spreadsheets/d/11923uPwbBZFjjGgGUA6NLw09EwE0CqkOc4q9oUmW1yo/edit?usp=sharing"",""อุตรดิตถ์!J390"")"),0)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IFERROR(__xludf.DUMMYFUNCTION("IMPORTRANGE(""https://docs.google.com/spreadsheets/d/11923uPwbBZFjjGgGUA6NLw09EwE0CqkOc4q9oUmW1yo/edit?usp=sharing"",""อุตรดิตถ์!I391"")"),0)</f>
        <v>0</v>
      </c>
      <c r="J496" s="436">
        <f ca="1">IFERROR(__xludf.DUMMYFUNCTION("IMPORTRANGE(""https://docs.google.com/spreadsheets/d/11923uPwbBZFjjGgGUA6NLw09EwE0CqkOc4q9oUmW1yo/edit?usp=sharing"",""อุตรดิตถ์!J391"")"),0)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IFERROR(__xludf.DUMMYFUNCTION("IMPORTRANGE(""https://docs.google.com/spreadsheets/d/11923uPwbBZFjjGgGUA6NLw09EwE0CqkOc4q9oUmW1yo/edit?usp=sharing"",""อุตรดิตถ์!I392"")"),12)</f>
        <v>12</v>
      </c>
      <c r="J497" s="443">
        <f ca="1">IFERROR(__xludf.DUMMYFUNCTION("IMPORTRANGE(""https://docs.google.com/spreadsheets/d/11923uPwbBZFjjGgGUA6NLw09EwE0CqkOc4q9oUmW1yo/edit?usp=sharing"",""อุตรดิตถ์!J392"")"),12)</f>
        <v>12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IFERROR(__xludf.DUMMYFUNCTION("IMPORTRANGE(""https://docs.google.com/spreadsheets/d/11923uPwbBZFjjGgGUA6NLw09EwE0CqkOc4q9oUmW1yo/edit?usp=sharing"",""อุตรดิตถ์!I393"")"),12)</f>
        <v>12</v>
      </c>
      <c r="J498" s="420">
        <f ca="1">IFERROR(__xludf.DUMMYFUNCTION("IMPORTRANGE(""https://docs.google.com/spreadsheets/d/11923uPwbBZFjjGgGUA6NLw09EwE0CqkOc4q9oUmW1yo/edit?usp=sharing"",""อุตรดิตถ์!J393"")"),12)</f>
        <v>12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IFERROR(__xludf.DUMMYFUNCTION("IMPORTRANGE(""https://docs.google.com/spreadsheets/d/11923uPwbBZFjjGgGUA6NLw09EwE0CqkOc4q9oUmW1yo/edit?usp=sharing"",""อุตรดิตถ์!I394"")"),4)</f>
        <v>4</v>
      </c>
      <c r="J499" s="420">
        <f ca="1">IFERROR(__xludf.DUMMYFUNCTION("IMPORTRANGE(""https://docs.google.com/spreadsheets/d/11923uPwbBZFjjGgGUA6NLw09EwE0CqkOc4q9oUmW1yo/edit?usp=sharing"",""อุตรดิตถ์!J394"")"),4)</f>
        <v>4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IFERROR(__xludf.DUMMYFUNCTION("IMPORTRANGE(""https://docs.google.com/spreadsheets/d/11923uPwbBZFjjGgGUA6NLw09EwE0CqkOc4q9oUmW1yo/edit?usp=sharing"",""อุตรดิตถ์!I395"")"),0)</f>
        <v>0</v>
      </c>
      <c r="J500" s="162">
        <f ca="1">IFERROR(__xludf.DUMMYFUNCTION("IMPORTRANGE(""https://docs.google.com/spreadsheets/d/11923uPwbBZFjjGgGUA6NLw09EwE0CqkOc4q9oUmW1yo/edit?usp=sharing"",""อุตรดิตถ์!J395"")"),12)</f>
        <v>12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IFERROR(__xludf.DUMMYFUNCTION("IMPORTRANGE(""https://docs.google.com/spreadsheets/d/11923uPwbBZFjjGgGUA6NLw09EwE0CqkOc4q9oUmW1yo/edit?usp=sharing"",""อุตรดิตถ์!I396"")"),0)</f>
        <v>0</v>
      </c>
      <c r="J501" s="162">
        <f ca="1">IFERROR(__xludf.DUMMYFUNCTION("IMPORTRANGE(""https://docs.google.com/spreadsheets/d/11923uPwbBZFjjGgGUA6NLw09EwE0CqkOc4q9oUmW1yo/edit?usp=sharing"",""อุตรดิตถ์!J396"")"),4)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IFERROR(__xludf.DUMMYFUNCTION("IMPORTRANGE(""https://docs.google.com/spreadsheets/d/11923uPwbBZFjjGgGUA6NLw09EwE0CqkOc4q9oUmW1yo/edit?usp=sharing"",""อุตรดิตถ์!I397"")"),0)</f>
        <v>0</v>
      </c>
      <c r="J502" s="188">
        <f ca="1">IFERROR(__xludf.DUMMYFUNCTION("IMPORTRANGE(""https://docs.google.com/spreadsheets/d/11923uPwbBZFjjGgGUA6NLw09EwE0CqkOc4q9oUmW1yo/edit?usp=sharing"",""อุตรดิตถ์!J397"")"),1.7)</f>
        <v>1.7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IFERROR(__xludf.DUMMYFUNCTION("IMPORTRANGE(""https://docs.google.com/spreadsheets/d/11923uPwbBZFjjGgGUA6NLw09EwE0CqkOc4q9oUmW1yo/edit?usp=sharing"",""อุตรดิตถ์!I398"")"),0)</f>
        <v>0</v>
      </c>
      <c r="J503" s="197">
        <f ca="1">IFERROR(__xludf.DUMMYFUNCTION("IMPORTRANGE(""https://docs.google.com/spreadsheets/d/11923uPwbBZFjjGgGUA6NLw09EwE0CqkOc4q9oUmW1yo/edit?usp=sharing"",""อุตรดิตถ์!J398"")"),2)</f>
        <v>2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IFERROR(__xludf.DUMMYFUNCTION("IMPORTRANGE(""https://docs.google.com/spreadsheets/d/11923uPwbBZFjjGgGUA6NLw09EwE0CqkOc4q9oUmW1yo/edit?usp=sharing"",""อุตรดิตถ์!I399"")"),0)</f>
        <v>0</v>
      </c>
      <c r="J504" s="188">
        <f ca="1">IFERROR(__xludf.DUMMYFUNCTION("IMPORTRANGE(""https://docs.google.com/spreadsheets/d/11923uPwbBZFjjGgGUA6NLw09EwE0CqkOc4q9oUmW1yo/edit?usp=sharing"",""อุตรดิตถ์!J399"")"),10.3)</f>
        <v>10.3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IFERROR(__xludf.DUMMYFUNCTION("IMPORTRANGE(""https://docs.google.com/spreadsheets/d/11923uPwbBZFjjGgGUA6NLw09EwE0CqkOc4q9oUmW1yo/edit?usp=sharing"",""อุตรดิตถ์!I400"")"),0)</f>
        <v>0</v>
      </c>
      <c r="J505" s="197">
        <f ca="1">IFERROR(__xludf.DUMMYFUNCTION("IMPORTRANGE(""https://docs.google.com/spreadsheets/d/11923uPwbBZFjjGgGUA6NLw09EwE0CqkOc4q9oUmW1yo/edit?usp=sharing"",""อุตรดิตถ์!J400"")"),2)</f>
        <v>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IFERROR(__xludf.DUMMYFUNCTION("IMPORTRANGE(""https://docs.google.com/spreadsheets/d/11923uPwbBZFjjGgGUA6NLw09EwE0CqkOc4q9oUmW1yo/edit?usp=sharing"",""อุตรดิตถ์!I401"")"),0)</f>
        <v>0</v>
      </c>
      <c r="J506" s="188">
        <f ca="1">IFERROR(__xludf.DUMMYFUNCTION("IMPORTRANGE(""https://docs.google.com/spreadsheets/d/11923uPwbBZFjjGgGUA6NLw09EwE0CqkOc4q9oUmW1yo/edit?usp=sharing"",""อุตรดิตถ์!J401"")"),0)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IFERROR(__xludf.DUMMYFUNCTION("IMPORTRANGE(""https://docs.google.com/spreadsheets/d/11923uPwbBZFjjGgGUA6NLw09EwE0CqkOc4q9oUmW1yo/edit?usp=sharing"",""อุตรดิตถ์!I402"")"),0)</f>
        <v>0</v>
      </c>
      <c r="J507" s="197">
        <f ca="1">IFERROR(__xludf.DUMMYFUNCTION("IMPORTRANGE(""https://docs.google.com/spreadsheets/d/11923uPwbBZFjjGgGUA6NLw09EwE0CqkOc4q9oUmW1yo/edit?usp=sharing"",""อุตรดิตถ์!J402"")"),0)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IFERROR(__xludf.DUMMYFUNCTION("IMPORTRANGE(""https://docs.google.com/spreadsheets/d/11923uPwbBZFjjGgGUA6NLw09EwE0CqkOc4q9oUmW1yo/edit?usp=sharing"",""อุตรดิตถ์!I403"")"),0)</f>
        <v>0</v>
      </c>
      <c r="J508" s="162">
        <f ca="1">IFERROR(__xludf.DUMMYFUNCTION("IMPORTRANGE(""https://docs.google.com/spreadsheets/d/11923uPwbBZFjjGgGUA6NLw09EwE0CqkOc4q9oUmW1yo/edit?usp=sharing"",""อุตรดิตถ์!J403"")"),0)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IFERROR(__xludf.DUMMYFUNCTION("IMPORTRANGE(""https://docs.google.com/spreadsheets/d/11923uPwbBZFjjGgGUA6NLw09EwE0CqkOc4q9oUmW1yo/edit?usp=sharing"",""อุตรดิตถ์!I404"")"),0)</f>
        <v>0</v>
      </c>
      <c r="J509" s="162">
        <f ca="1">IFERROR(__xludf.DUMMYFUNCTION("IMPORTRANGE(""https://docs.google.com/spreadsheets/d/11923uPwbBZFjjGgGUA6NLw09EwE0CqkOc4q9oUmW1yo/edit?usp=sharing"",""อุตรดิตถ์!J404"")"),0)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IFERROR(__xludf.DUMMYFUNCTION("IMPORTRANGE(""https://docs.google.com/spreadsheets/d/11923uPwbBZFjjGgGUA6NLw09EwE0CqkOc4q9oUmW1yo/edit?usp=sharing"",""อุตรดิตถ์!I405"")"),0)</f>
        <v>0</v>
      </c>
      <c r="J510" s="197">
        <f ca="1">IFERROR(__xludf.DUMMYFUNCTION("IMPORTRANGE(""https://docs.google.com/spreadsheets/d/11923uPwbBZFjjGgGUA6NLw09EwE0CqkOc4q9oUmW1yo/edit?usp=sharing"",""อุตรดิตถ์!J405"")"),0)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IFERROR(__xludf.DUMMYFUNCTION("IMPORTRANGE(""https://docs.google.com/spreadsheets/d/11923uPwbBZFjjGgGUA6NLw09EwE0CqkOc4q9oUmW1yo/edit?usp=sharing"",""อุตรดิตถ์!I406"")"),0)</f>
        <v>0</v>
      </c>
      <c r="J511" s="197">
        <f ca="1">IFERROR(__xludf.DUMMYFUNCTION("IMPORTRANGE(""https://docs.google.com/spreadsheets/d/11923uPwbBZFjjGgGUA6NLw09EwE0CqkOc4q9oUmW1yo/edit?usp=sharing"",""อุตรดิตถ์!J406"")"),0)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IFERROR(__xludf.DUMMYFUNCTION("IMPORTRANGE(""https://docs.google.com/spreadsheets/d/11923uPwbBZFjjGgGUA6NLw09EwE0CqkOc4q9oUmW1yo/edit?usp=sharing"",""อุตรดิตถ์!I407"")"),0)</f>
        <v>0</v>
      </c>
      <c r="J512" s="197">
        <f ca="1">IFERROR(__xludf.DUMMYFUNCTION("IMPORTRANGE(""https://docs.google.com/spreadsheets/d/11923uPwbBZFjjGgGUA6NLw09EwE0CqkOc4q9oUmW1yo/edit?usp=sharing"",""อุตรดิตถ์!J407"")"),0)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IFERROR(__xludf.DUMMYFUNCTION("IMPORTRANGE(""https://docs.google.com/spreadsheets/d/11923uPwbBZFjjGgGUA6NLw09EwE0CqkOc4q9oUmW1yo/edit?usp=sharing"",""อุตรดิตถ์!I408"")"),0)</f>
        <v>0</v>
      </c>
      <c r="J513" s="197">
        <f ca="1">IFERROR(__xludf.DUMMYFUNCTION("IMPORTRANGE(""https://docs.google.com/spreadsheets/d/11923uPwbBZFjjGgGUA6NLw09EwE0CqkOc4q9oUmW1yo/edit?usp=sharing"",""อุตรดิตถ์!J408"")"),0)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IFERROR(__xludf.DUMMYFUNCTION("IMPORTRANGE(""https://docs.google.com/spreadsheets/d/11923uPwbBZFjjGgGUA6NLw09EwE0CqkOc4q9oUmW1yo/edit?usp=sharing"",""อุตรดิตถ์!I409"")"),0)</f>
        <v>0</v>
      </c>
      <c r="J514" s="197">
        <f ca="1">IFERROR(__xludf.DUMMYFUNCTION("IMPORTRANGE(""https://docs.google.com/spreadsheets/d/11923uPwbBZFjjGgGUA6NLw09EwE0CqkOc4q9oUmW1yo/edit?usp=sharing"",""อุตรดิตถ์!J409"")"),0)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IFERROR(__xludf.DUMMYFUNCTION("IMPORTRANGE(""https://docs.google.com/spreadsheets/d/11923uPwbBZFjjGgGUA6NLw09EwE0CqkOc4q9oUmW1yo/edit?usp=sharing"",""อุตรดิตถ์!I410"")"),0)</f>
        <v>0</v>
      </c>
      <c r="J515" s="197">
        <f ca="1">IFERROR(__xludf.DUMMYFUNCTION("IMPORTRANGE(""https://docs.google.com/spreadsheets/d/11923uPwbBZFjjGgGUA6NLw09EwE0CqkOc4q9oUmW1yo/edit?usp=sharing"",""อุตรดิตถ์!J410"")"),0)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IFERROR(__xludf.DUMMYFUNCTION("IMPORTRANGE(""https://docs.google.com/spreadsheets/d/11923uPwbBZFjjGgGUA6NLw09EwE0CqkOc4q9oUmW1yo/edit?usp=sharing"",""อุตรดิตถ์!I411"")"),0)</f>
        <v>0</v>
      </c>
      <c r="J516" s="267">
        <f ca="1">IFERROR(__xludf.DUMMYFUNCTION("IMPORTRANGE(""https://docs.google.com/spreadsheets/d/11923uPwbBZFjjGgGUA6NLw09EwE0CqkOc4q9oUmW1yo/edit?usp=sharing"",""อุตรดิตถ์!J411"")"),0)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IFERROR(__xludf.DUMMYFUNCTION("IMPORTRANGE(""https://docs.google.com/spreadsheets/d/11923uPwbBZFjjGgGUA6NLw09EwE0CqkOc4q9oUmW1yo/edit?usp=sharing"",""อุตรดิตถ์!I412"")"),0)</f>
        <v>0</v>
      </c>
      <c r="J517" s="284">
        <f ca="1">IFERROR(__xludf.DUMMYFUNCTION("IMPORTRANGE(""https://docs.google.com/spreadsheets/d/11923uPwbBZFjjGgGUA6NLw09EwE0CqkOc4q9oUmW1yo/edit?usp=sharing"",""อุตรดิตถ์!J412"")"),0)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IFERROR(__xludf.DUMMYFUNCTION("IMPORTRANGE(""https://docs.google.com/spreadsheets/d/11923uPwbBZFjjGgGUA6NLw09EwE0CqkOc4q9oUmW1yo/edit?usp=sharing"",""อุตรดิตถ์!I413"")"),0)</f>
        <v>0</v>
      </c>
      <c r="J518" s="284">
        <f ca="1">IFERROR(__xludf.DUMMYFUNCTION("IMPORTRANGE(""https://docs.google.com/spreadsheets/d/11923uPwbBZFjjGgGUA6NLw09EwE0CqkOc4q9oUmW1yo/edit?usp=sharing"",""อุตรดิตถ์!J413"")"),0)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IFERROR(__xludf.DUMMYFUNCTION("IMPORTRANGE(""https://docs.google.com/spreadsheets/d/11923uPwbBZFjjGgGUA6NLw09EwE0CqkOc4q9oUmW1yo/edit?usp=sharing"",""อุตรดิตถ์!I414"")"),0)</f>
        <v>0</v>
      </c>
      <c r="J519" s="187">
        <f ca="1">IFERROR(__xludf.DUMMYFUNCTION("IMPORTRANGE(""https://docs.google.com/spreadsheets/d/11923uPwbBZFjjGgGUA6NLw09EwE0CqkOc4q9oUmW1yo/edit?usp=sharing"",""อุตรดิตถ์!J414"")"),0)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IFERROR(__xludf.DUMMYFUNCTION("IMPORTRANGE(""https://docs.google.com/spreadsheets/d/11923uPwbBZFjjGgGUA6NLw09EwE0CqkOc4q9oUmW1yo/edit?usp=sharing"",""อุตรดิตถ์!I415"")"),0)</f>
        <v>0</v>
      </c>
      <c r="J520" s="187">
        <f ca="1">IFERROR(__xludf.DUMMYFUNCTION("IMPORTRANGE(""https://docs.google.com/spreadsheets/d/11923uPwbBZFjjGgGUA6NLw09EwE0CqkOc4q9oUmW1yo/edit?usp=sharing"",""อุตรดิตถ์!J415"")"),0)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IFERROR(__xludf.DUMMYFUNCTION("IMPORTRANGE(""https://docs.google.com/spreadsheets/d/11923uPwbBZFjjGgGUA6NLw09EwE0CqkOc4q9oUmW1yo/edit?usp=sharing"",""อุตรดิตถ์!I416"")"),0)</f>
        <v>0</v>
      </c>
      <c r="J521" s="187">
        <f ca="1">IFERROR(__xludf.DUMMYFUNCTION("IMPORTRANGE(""https://docs.google.com/spreadsheets/d/11923uPwbBZFjjGgGUA6NLw09EwE0CqkOc4q9oUmW1yo/edit?usp=sharing"",""อุตรดิตถ์!J416"")"),0)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IFERROR(__xludf.DUMMYFUNCTION("IMPORTRANGE(""https://docs.google.com/spreadsheets/d/11923uPwbBZFjjGgGUA6NLw09EwE0CqkOc4q9oUmW1yo/edit?usp=sharing"",""อุตรดิตถ์!I417"")"),0)</f>
        <v>0</v>
      </c>
      <c r="J522" s="187">
        <f ca="1">IFERROR(__xludf.DUMMYFUNCTION("IMPORTRANGE(""https://docs.google.com/spreadsheets/d/11923uPwbBZFjjGgGUA6NLw09EwE0CqkOc4q9oUmW1yo/edit?usp=sharing"",""อุตรดิตถ์!J417"")"),0)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IFERROR(__xludf.DUMMYFUNCTION("IMPORTRANGE(""https://docs.google.com/spreadsheets/d/11923uPwbBZFjjGgGUA6NLw09EwE0CqkOc4q9oUmW1yo/edit?usp=sharing"",""อุตรดิตถ์!I418"")"),0)</f>
        <v>0</v>
      </c>
      <c r="J523" s="187">
        <f ca="1">IFERROR(__xludf.DUMMYFUNCTION("IMPORTRANGE(""https://docs.google.com/spreadsheets/d/11923uPwbBZFjjGgGUA6NLw09EwE0CqkOc4q9oUmW1yo/edit?usp=sharing"",""อุตรดิตถ์!J418"")"),3)</f>
        <v>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IFERROR(__xludf.DUMMYFUNCTION("IMPORTRANGE(""https://docs.google.com/spreadsheets/d/11923uPwbBZFjjGgGUA6NLw09EwE0CqkOc4q9oUmW1yo/edit?usp=sharing"",""อุตรดิตถ์!I419"")"),0)</f>
        <v>0</v>
      </c>
      <c r="J524" s="187">
        <f ca="1">IFERROR(__xludf.DUMMYFUNCTION("IMPORTRANGE(""https://docs.google.com/spreadsheets/d/11923uPwbBZFjjGgGUA6NLw09EwE0CqkOc4q9oUmW1yo/edit?usp=sharing"",""อุตรดิตถ์!J419"")"),2)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IFERROR(__xludf.DUMMYFUNCTION("IMPORTRANGE(""https://docs.google.com/spreadsheets/d/11923uPwbBZFjjGgGUA6NLw09EwE0CqkOc4q9oUmW1yo/edit?usp=sharing"",""อุตรดิตถ์!I420"")"),3)</f>
        <v>3</v>
      </c>
      <c r="J525" s="284">
        <f ca="1">IFERROR(__xludf.DUMMYFUNCTION("IMPORTRANGE(""https://docs.google.com/spreadsheets/d/11923uPwbBZFjjGgGUA6NLw09EwE0CqkOc4q9oUmW1yo/edit?usp=sharing"",""อุตรดิตถ์!J420"")"),0)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IFERROR(__xludf.DUMMYFUNCTION("IMPORTRANGE(""https://docs.google.com/spreadsheets/d/11923uPwbBZFjjGgGUA6NLw09EwE0CqkOc4q9oUmW1yo/edit?usp=sharing"",""อุตรดิตถ์!I421"")"),2)</f>
        <v>2</v>
      </c>
      <c r="J526" s="284">
        <f ca="1">IFERROR(__xludf.DUMMYFUNCTION("IMPORTRANGE(""https://docs.google.com/spreadsheets/d/11923uPwbBZFjjGgGUA6NLw09EwE0CqkOc4q9oUmW1yo/edit?usp=sharing"",""อุตรดิตถ์!J421"")"),0)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IFERROR(__xludf.DUMMYFUNCTION("IMPORTRANGE(""https://docs.google.com/spreadsheets/d/11923uPwbBZFjjGgGUA6NLw09EwE0CqkOc4q9oUmW1yo/edit?usp=sharing"",""อุตรดิตถ์!I422"")"),0)</f>
        <v>0</v>
      </c>
      <c r="J527" s="197">
        <f ca="1">IFERROR(__xludf.DUMMYFUNCTION("IMPORTRANGE(""https://docs.google.com/spreadsheets/d/11923uPwbBZFjjGgGUA6NLw09EwE0CqkOc4q9oUmW1yo/edit?usp=sharing"",""อุตรดิตถ์!J422"")"),0)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IFERROR(__xludf.DUMMYFUNCTION("IMPORTRANGE(""https://docs.google.com/spreadsheets/d/11923uPwbBZFjjGgGUA6NLw09EwE0CqkOc4q9oUmW1yo/edit?usp=sharing"",""อุตรดิตถ์!I423"")"),0)</f>
        <v>0</v>
      </c>
      <c r="J528" s="197">
        <f ca="1">IFERROR(__xludf.DUMMYFUNCTION("IMPORTRANGE(""https://docs.google.com/spreadsheets/d/11923uPwbBZFjjGgGUA6NLw09EwE0CqkOc4q9oUmW1yo/edit?usp=sharing"",""อุตรดิตถ์!J423"")"),0)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IFERROR(__xludf.DUMMYFUNCTION("IMPORTRANGE(""https://docs.google.com/spreadsheets/d/11923uPwbBZFjjGgGUA6NLw09EwE0CqkOc4q9oUmW1yo/edit?usp=sharing"",""อุตรดิตถ์!I424"")"),0)</f>
        <v>0</v>
      </c>
      <c r="J529" s="197">
        <f ca="1">IFERROR(__xludf.DUMMYFUNCTION("IMPORTRANGE(""https://docs.google.com/spreadsheets/d/11923uPwbBZFjjGgGUA6NLw09EwE0CqkOc4q9oUmW1yo/edit?usp=sharing"",""อุตรดิตถ์!J424"")"),0)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IFERROR(__xludf.DUMMYFUNCTION("IMPORTRANGE(""https://docs.google.com/spreadsheets/d/11923uPwbBZFjjGgGUA6NLw09EwE0CqkOc4q9oUmW1yo/edit?usp=sharing"",""อุตรดิตถ์!I425"")"),0)</f>
        <v>0</v>
      </c>
      <c r="J530" s="197">
        <f ca="1">IFERROR(__xludf.DUMMYFUNCTION("IMPORTRANGE(""https://docs.google.com/spreadsheets/d/11923uPwbBZFjjGgGUA6NLw09EwE0CqkOc4q9oUmW1yo/edit?usp=sharing"",""อุตรดิตถ์!J425"")"),0)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IFERROR(__xludf.DUMMYFUNCTION("IMPORTRANGE(""https://docs.google.com/spreadsheets/d/11923uPwbBZFjjGgGUA6NLw09EwE0CqkOc4q9oUmW1yo/edit?usp=sharing"",""อุตรดิตถ์!I426"")"),0)</f>
        <v>0</v>
      </c>
      <c r="J531" s="197">
        <f ca="1">IFERROR(__xludf.DUMMYFUNCTION("IMPORTRANGE(""https://docs.google.com/spreadsheets/d/11923uPwbBZFjjGgGUA6NLw09EwE0CqkOc4q9oUmW1yo/edit?usp=sharing"",""อุตรดิตถ์!J426"")"),0)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IFERROR(__xludf.DUMMYFUNCTION("IMPORTRANGE(""https://docs.google.com/spreadsheets/d/11923uPwbBZFjjGgGUA6NLw09EwE0CqkOc4q9oUmW1yo/edit?usp=sharing"",""อุตรดิตถ์!I427"")"),0)</f>
        <v>0</v>
      </c>
      <c r="J532" s="466">
        <f ca="1">IFERROR(__xludf.DUMMYFUNCTION("IMPORTRANGE(""https://docs.google.com/spreadsheets/d/11923uPwbBZFjjGgGUA6NLw09EwE0CqkOc4q9oUmW1yo/edit?usp=sharing"",""อุตรดิตถ์!J427"")"),0)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IFERROR(__xludf.DUMMYFUNCTION("IMPORTRANGE(""https://docs.google.com/spreadsheets/d/11923uPwbBZFjjGgGUA6NLw09EwE0CqkOc4q9oUmW1yo/edit?usp=sharing"",""อุตรดิตถ์!I428"")"),22)</f>
        <v>22</v>
      </c>
      <c r="J533" s="409">
        <f ca="1">IFERROR(__xludf.DUMMYFUNCTION("IMPORTRANGE(""https://docs.google.com/spreadsheets/d/11923uPwbBZFjjGgGUA6NLw09EwE0CqkOc4q9oUmW1yo/edit?usp=sharing"",""อุตรดิตถ์!J428"")"),22)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IFERROR(__xludf.DUMMYFUNCTION("IMPORTRANGE(""https://docs.google.com/spreadsheets/d/11923uPwbBZFjjGgGUA6NLw09EwE0CqkOc4q9oUmW1yo/edit?usp=sharing"",""อุตรดิตถ์!L428"")"),34340)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IFERROR(__xludf.DUMMYFUNCTION("IMPORTRANGE(""https://docs.google.com/spreadsheets/d/11923uPwbBZFjjGgGUA6NLw09EwE0CqkOc4q9oUmW1yo/edit?usp=sharing"",""อุตรดิตถ์!M428"")"),32379)</f>
        <v>32379</v>
      </c>
      <c r="O533" s="411">
        <f t="shared" ref="O533:O537" ca="1" si="118">+IF(L533&gt;0,N533*100/L533,0)</f>
        <v>94.289458357600466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IFERROR(__xludf.DUMMYFUNCTION("IMPORTRANGE(""https://docs.google.com/spreadsheets/d/11923uPwbBZFjjGgGUA6NLw09EwE0CqkOc4q9oUmW1yo/edit?usp=sharing"",""อุตรดิตถ์!L429"")"),0)</f>
        <v>0</v>
      </c>
      <c r="M534" s="164"/>
      <c r="N534" s="168">
        <f ca="1">IFERROR(__xludf.DUMMYFUNCTION("IMPORTRANGE(""https://docs.google.com/spreadsheets/d/11923uPwbBZFjjGgGUA6NLw09EwE0CqkOc4q9oUmW1yo/edit?usp=sharing"",""อุตรดิตถ์!M429"")"),0)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IFERROR(__xludf.DUMMYFUNCTION("IMPORTRANGE(""https://docs.google.com/spreadsheets/d/11923uPwbBZFjjGgGUA6NLw09EwE0CqkOc4q9oUmW1yo/edit?usp=sharing"",""อุตรดิตถ์!L430"")"),34340)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IFERROR(__xludf.DUMMYFUNCTION("IMPORTRANGE(""https://docs.google.com/spreadsheets/d/11923uPwbBZFjjGgGUA6NLw09EwE0CqkOc4q9oUmW1yo/edit?usp=sharing"",""อุตรดิตถ์!M430"")"),32379)</f>
        <v>32379</v>
      </c>
      <c r="O535" s="168">
        <f t="shared" ca="1" si="118"/>
        <v>94.289458357600466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IFERROR(__xludf.DUMMYFUNCTION("IMPORTRANGE(""https://docs.google.com/spreadsheets/d/11923uPwbBZFjjGgGUA6NLw09EwE0CqkOc4q9oUmW1yo/edit?usp=sharing"",""อุตรดิตถ์!L431"")"),0)</f>
        <v>0</v>
      </c>
      <c r="M536" s="168"/>
      <c r="N536" s="168">
        <f ca="1">IFERROR(__xludf.DUMMYFUNCTION("IMPORTRANGE(""https://docs.google.com/spreadsheets/d/11923uPwbBZFjjGgGUA6NLw09EwE0CqkOc4q9oUmW1yo/edit?usp=sharing"",""อุตรดิตถ์!M431"")"),0)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IFERROR(__xludf.DUMMYFUNCTION("IMPORTRANGE(""https://docs.google.com/spreadsheets/d/11923uPwbBZFjjGgGUA6NLw09EwE0CqkOc4q9oUmW1yo/edit?usp=sharing"",""อุตรดิตถ์!L432"")"),34340)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IFERROR(__xludf.DUMMYFUNCTION("IMPORTRANGE(""https://docs.google.com/spreadsheets/d/11923uPwbBZFjjGgGUA6NLw09EwE0CqkOc4q9oUmW1yo/edit?usp=sharing"",""อุตรดิตถ์!M432"")"),32379)</f>
        <v>32379</v>
      </c>
      <c r="O537" s="168">
        <f t="shared" ca="1" si="118"/>
        <v>94.289458357600466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IFERROR(__xludf.DUMMYFUNCTION("IMPORTRANGE(""https://docs.google.com/spreadsheets/d/11923uPwbBZFjjGgGUA6NLw09EwE0CqkOc4q9oUmW1yo/edit?usp=sharing"",""อุตรดิตถ์!M433"")"),18740)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IFERROR(__xludf.DUMMYFUNCTION("IMPORTRANGE(""https://docs.google.com/spreadsheets/d/11923uPwbBZFjjGgGUA6NLw09EwE0CqkOc4q9oUmW1yo/edit?usp=sharing"",""อุตรดิตถ์!M434"")"),0)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IFERROR(__xludf.DUMMYFUNCTION("IMPORTRANGE(""https://docs.google.com/spreadsheets/d/11923uPwbBZFjjGgGUA6NLw09EwE0CqkOc4q9oUmW1yo/edit?usp=sharing"",""อุตรดิตถ์!M435"")"),0)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IFERROR(__xludf.DUMMYFUNCTION("IMPORTRANGE(""https://docs.google.com/spreadsheets/d/11923uPwbBZFjjGgGUA6NLw09EwE0CqkOc4q9oUmW1yo/edit?usp=sharing"",""อุตรดิตถ์!M436"")"),13639)</f>
        <v>13639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IFERROR(__xludf.DUMMYFUNCTION("IMPORTRANGE(""https://docs.google.com/spreadsheets/d/11923uPwbBZFjjGgGUA6NLw09EwE0CqkOc4q9oUmW1yo/edit?usp=sharing"",""อุตรดิตถ์!J438"")"),0)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IFERROR(__xludf.DUMMYFUNCTION("IMPORTRANGE(""https://docs.google.com/spreadsheets/d/11923uPwbBZFjjGgGUA6NLw09EwE0CqkOc4q9oUmW1yo/edit?usp=sharing"",""อุตรดิตถ์!J439"")"),1)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IFERROR(__xludf.DUMMYFUNCTION("IMPORTRANGE(""https://docs.google.com/spreadsheets/d/11923uPwbBZFjjGgGUA6NLw09EwE0CqkOc4q9oUmW1yo/edit?usp=sharing"",""อุตรดิตถ์!J440"")"),1)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IFERROR(__xludf.DUMMYFUNCTION("IMPORTRANGE(""https://docs.google.com/spreadsheets/d/11923uPwbBZFjjGgGUA6NLw09EwE0CqkOc4q9oUmW1yo/edit?usp=sharing"",""อุตรดิตถ์!J441"")"),1)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IFERROR(__xludf.DUMMYFUNCTION("IMPORTRANGE(""https://docs.google.com/spreadsheets/d/11923uPwbBZFjjGgGUA6NLw09EwE0CqkOc4q9oUmW1yo/edit?usp=sharing"",""อุตรดิตถ์!I442"")"),22)</f>
        <v>22</v>
      </c>
      <c r="J547" s="188">
        <f ca="1">IFERROR(__xludf.DUMMYFUNCTION("IMPORTRANGE(""https://docs.google.com/spreadsheets/d/11923uPwbBZFjjGgGUA6NLw09EwE0CqkOc4q9oUmW1yo/edit?usp=sharing"",""อุตรดิตถ์!J442"")"),22)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IFERROR(__xludf.DUMMYFUNCTION("IMPORTRANGE(""https://docs.google.com/spreadsheets/d/11923uPwbBZFjjGgGUA6NLw09EwE0CqkOc4q9oUmW1yo/edit?usp=sharing"",""อุตรดิตถ์!J166"")"),0)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IFERROR(__xludf.DUMMYFUNCTION("IMPORTRANGE(""https://docs.google.com/spreadsheets/d/11923uPwbBZFjjGgGUA6NLw09EwE0CqkOc4q9oUmW1yo/edit?usp=sharing"",""อุตรดิตถ์!J444"")"),0)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IFERROR(__xludf.DUMMYFUNCTION("IMPORTRANGE(""https://docs.google.com/spreadsheets/d/11923uPwbBZFjjGgGUA6NLw09EwE0CqkOc4q9oUmW1yo/edit?usp=sharing"",""อุตรดิตถ์!J445"")"),0)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IFERROR(__xludf.DUMMYFUNCTION("IMPORTRANGE(""https://docs.google.com/spreadsheets/d/11923uPwbBZFjjGgGUA6NLw09EwE0CqkOc4q9oUmW1yo/edit?usp=sharing"",""อุตรดิตถ์!I446"")"),5000)</f>
        <v>5000</v>
      </c>
      <c r="J551" s="409">
        <f ca="1">IFERROR(__xludf.DUMMYFUNCTION("IMPORTRANGE(""https://docs.google.com/spreadsheets/d/11923uPwbBZFjjGgGUA6NLw09EwE0CqkOc4q9oUmW1yo/edit?usp=sharing"",""อุตรดิตถ์!J446"")"),4914)</f>
        <v>4914</v>
      </c>
      <c r="K551" s="410">
        <f ca="1">IF(I551&gt;0,J551*100/I551,0)</f>
        <v>98.28</v>
      </c>
      <c r="L551" s="411">
        <f ca="1">IFERROR(__xludf.DUMMYFUNCTION("IMPORTRANGE(""https://docs.google.com/spreadsheets/d/11923uPwbBZFjjGgGUA6NLw09EwE0CqkOc4q9oUmW1yo/edit?usp=sharing"",""อุตรดิตถ์!L446"")"),300000)</f>
        <v>300000</v>
      </c>
      <c r="M551" s="411"/>
      <c r="N551" s="411">
        <f ca="1">IFERROR(__xludf.DUMMYFUNCTION("IMPORTRANGE(""https://docs.google.com/spreadsheets/d/11923uPwbBZFjjGgGUA6NLw09EwE0CqkOc4q9oUmW1yo/edit?usp=sharing"",""อุตรดิตถ์!M446"")"),291182.2)</f>
        <v>291182.2</v>
      </c>
      <c r="O551" s="411">
        <f t="shared" ref="O551:O555" ca="1" si="120">+IF(L551&gt;0,N551*100/L551,0)</f>
        <v>97.060733333333332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IFERROR(__xludf.DUMMYFUNCTION("IMPORTRANGE(""https://docs.google.com/spreadsheets/d/11923uPwbBZFjjGgGUA6NLw09EwE0CqkOc4q9oUmW1yo/edit?usp=sharing"",""อุตรดิตถ์!L447"")"),0)</f>
        <v>0</v>
      </c>
      <c r="M552" s="164"/>
      <c r="N552" s="168">
        <f ca="1">IFERROR(__xludf.DUMMYFUNCTION("IMPORTRANGE(""https://docs.google.com/spreadsheets/d/11923uPwbBZFjjGgGUA6NLw09EwE0CqkOc4q9oUmW1yo/edit?usp=sharing"",""อุตรดิตถ์!M447"")"),0)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IFERROR(__xludf.DUMMYFUNCTION("IMPORTRANGE(""https://docs.google.com/spreadsheets/d/11923uPwbBZFjjGgGUA6NLw09EwE0CqkOc4q9oUmW1yo/edit?usp=sharing"",""อุตรดิตถ์!L448"")"),300000)</f>
        <v>300000</v>
      </c>
      <c r="M553" s="165"/>
      <c r="N553" s="168">
        <f ca="1">IFERROR(__xludf.DUMMYFUNCTION("IMPORTRANGE(""https://docs.google.com/spreadsheets/d/11923uPwbBZFjjGgGUA6NLw09EwE0CqkOc4q9oUmW1yo/edit?usp=sharing"",""อุตรดิตถ์!M448"")"),291182.2)</f>
        <v>291182.2</v>
      </c>
      <c r="O553" s="168">
        <f t="shared" ca="1" si="120"/>
        <v>97.060733333333332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IFERROR(__xludf.DUMMYFUNCTION("IMPORTRANGE(""https://docs.google.com/spreadsheets/d/11923uPwbBZFjjGgGUA6NLw09EwE0CqkOc4q9oUmW1yo/edit?usp=sharing"",""อุตรดิตถ์!L449"")"),0)</f>
        <v>0</v>
      </c>
      <c r="M554" s="168"/>
      <c r="N554" s="168">
        <f ca="1">IFERROR(__xludf.DUMMYFUNCTION("IMPORTRANGE(""https://docs.google.com/spreadsheets/d/11923uPwbBZFjjGgGUA6NLw09EwE0CqkOc4q9oUmW1yo/edit?usp=sharing"",""อุตรดิตถ์!M449"")"),0)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IFERROR(__xludf.DUMMYFUNCTION("IMPORTRANGE(""https://docs.google.com/spreadsheets/d/11923uPwbBZFjjGgGUA6NLw09EwE0CqkOc4q9oUmW1yo/edit?usp=sharing"",""อุตรดิตถ์!L450"")"),300000)</f>
        <v>300000</v>
      </c>
      <c r="M555" s="168"/>
      <c r="N555" s="168">
        <f ca="1">IFERROR(__xludf.DUMMYFUNCTION("IMPORTRANGE(""https://docs.google.com/spreadsheets/d/11923uPwbBZFjjGgGUA6NLw09EwE0CqkOc4q9oUmW1yo/edit?usp=sharing"",""อุตรดิตถ์!M450"")"),291182.2)</f>
        <v>291182.2</v>
      </c>
      <c r="O555" s="168">
        <f t="shared" ca="1" si="120"/>
        <v>97.060733333333332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IFERROR(__xludf.DUMMYFUNCTION("IMPORTRANGE(""https://docs.google.com/spreadsheets/d/11923uPwbBZFjjGgGUA6NLw09EwE0CqkOc4q9oUmW1yo/edit?usp=sharing"",""อุตรดิตถ์!M451"")"),0)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IFERROR(__xludf.DUMMYFUNCTION("IMPORTRANGE(""https://docs.google.com/spreadsheets/d/11923uPwbBZFjjGgGUA6NLw09EwE0CqkOc4q9oUmW1yo/edit?usp=sharing"",""อุตรดิตถ์!M452"")"),0)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IFERROR(__xludf.DUMMYFUNCTION("IMPORTRANGE(""https://docs.google.com/spreadsheets/d/11923uPwbBZFjjGgGUA6NLw09EwE0CqkOc4q9oUmW1yo/edit?usp=sharing"",""อุตรดิตถ์!M453"")"),71400)</f>
        <v>71400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IFERROR(__xludf.DUMMYFUNCTION("IMPORTRANGE(""https://docs.google.com/spreadsheets/d/11923uPwbBZFjjGgGUA6NLw09EwE0CqkOc4q9oUmW1yo/edit?usp=sharing"",""อุตรดิตถ์!M454"")"),219782.2)</f>
        <v>219782.2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IFERROR(__xludf.DUMMYFUNCTION("IMPORTRANGE(""https://docs.google.com/spreadsheets/d/11923uPwbBZFjjGgGUA6NLw09EwE0CqkOc4q9oUmW1yo/edit?usp=sharing"",""อุตรดิตถ์!I455"")"),5000)</f>
        <v>5000</v>
      </c>
      <c r="J560" s="162">
        <f ca="1">IFERROR(__xludf.DUMMYFUNCTION("IMPORTRANGE(""https://docs.google.com/spreadsheets/d/11923uPwbBZFjjGgGUA6NLw09EwE0CqkOc4q9oUmW1yo/edit?usp=sharing"",""อุตรดิตถ์!J455"")"),4914)</f>
        <v>4914</v>
      </c>
      <c r="K560" s="224">
        <f t="shared" ref="K560:K561" ca="1" si="121">IF(I560&gt;0,J560*100/I560,0)</f>
        <v>98.28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IFERROR(__xludf.DUMMYFUNCTION("IMPORTRANGE(""https://docs.google.com/spreadsheets/d/11923uPwbBZFjjGgGUA6NLw09EwE0CqkOc4q9oUmW1yo/edit?usp=sharing"",""อุตรดิตถ์!I456"")"),0)</f>
        <v>0</v>
      </c>
      <c r="J561" s="203">
        <f ca="1">IFERROR(__xludf.DUMMYFUNCTION("IMPORTRANGE(""https://docs.google.com/spreadsheets/d/11923uPwbBZFjjGgGUA6NLw09EwE0CqkOc4q9oUmW1yo/edit?usp=sharing"",""อุตรดิตถ์!J456"")"),661)</f>
        <v>661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IFERROR(__xludf.DUMMYFUNCTION("IMPORTRANGE(""https://docs.google.com/spreadsheets/d/11923uPwbBZFjjGgGUA6NLw09EwE0CqkOc4q9oUmW1yo/edit?usp=sharing"",""อุตรดิตถ์!I459"")"),1100)</f>
        <v>1100</v>
      </c>
      <c r="J564" s="370">
        <f ca="1">IFERROR(__xludf.DUMMYFUNCTION("IMPORTRANGE(""https://docs.google.com/spreadsheets/d/11923uPwbBZFjjGgGUA6NLw09EwE0CqkOc4q9oUmW1yo/edit?usp=sharing"",""อุตรดิตถ์!J459"")"),3773)</f>
        <v>3773</v>
      </c>
      <c r="K564" s="371">
        <f ca="1">IF(I564&gt;0,J564*100/I564,0)</f>
        <v>343</v>
      </c>
      <c r="L564" s="372">
        <f ca="1">IFERROR(__xludf.DUMMYFUNCTION("IMPORTRANGE(""https://docs.google.com/spreadsheets/d/11923uPwbBZFjjGgGUA6NLw09EwE0CqkOc4q9oUmW1yo/edit?usp=sharing"",""อุตรดิตถ์!L459"")"),127280)</f>
        <v>127280</v>
      </c>
      <c r="M564" s="372"/>
      <c r="N564" s="372">
        <f ca="1">IFERROR(__xludf.DUMMYFUNCTION("IMPORTRANGE(""https://docs.google.com/spreadsheets/d/11923uPwbBZFjjGgGUA6NLw09EwE0CqkOc4q9oUmW1yo/edit?usp=sharing"",""อุตรดิตถ์!M459"")"),106344)</f>
        <v>106344</v>
      </c>
      <c r="O564" s="372">
        <f t="shared" ref="O564:O568" ca="1" si="122">+IF(L564&gt;0,N564*100/L564,0)</f>
        <v>83.551225644248902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IFERROR(__xludf.DUMMYFUNCTION("IMPORTRANGE(""https://docs.google.com/spreadsheets/d/11923uPwbBZFjjGgGUA6NLw09EwE0CqkOc4q9oUmW1yo/edit?usp=sharing"",""อุตรดิตถ์!L460"")"),0)</f>
        <v>0</v>
      </c>
      <c r="M565" s="164"/>
      <c r="N565" s="168">
        <f ca="1">IFERROR(__xludf.DUMMYFUNCTION("IMPORTRANGE(""https://docs.google.com/spreadsheets/d/11923uPwbBZFjjGgGUA6NLw09EwE0CqkOc4q9oUmW1yo/edit?usp=sharing"",""อุตรดิตถ์!M460"")"),0)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IFERROR(__xludf.DUMMYFUNCTION("IMPORTRANGE(""https://docs.google.com/spreadsheets/d/11923uPwbBZFjjGgGUA6NLw09EwE0CqkOc4q9oUmW1yo/edit?usp=sharing"",""อุตรดิตถ์!L461"")"),127280)</f>
        <v>127280</v>
      </c>
      <c r="M566" s="165"/>
      <c r="N566" s="168">
        <f ca="1">IFERROR(__xludf.DUMMYFUNCTION("IMPORTRANGE(""https://docs.google.com/spreadsheets/d/11923uPwbBZFjjGgGUA6NLw09EwE0CqkOc4q9oUmW1yo/edit?usp=sharing"",""อุตรดิตถ์!M461"")"),106344)</f>
        <v>106344</v>
      </c>
      <c r="O566" s="168">
        <f t="shared" ca="1" si="122"/>
        <v>83.551225644248902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IFERROR(__xludf.DUMMYFUNCTION("IMPORTRANGE(""https://docs.google.com/spreadsheets/d/11923uPwbBZFjjGgGUA6NLw09EwE0CqkOc4q9oUmW1yo/edit?usp=sharing"",""อุตรดิตถ์!L462"")"),0)</f>
        <v>0</v>
      </c>
      <c r="M567" s="168"/>
      <c r="N567" s="168">
        <f ca="1">IFERROR(__xludf.DUMMYFUNCTION("IMPORTRANGE(""https://docs.google.com/spreadsheets/d/11923uPwbBZFjjGgGUA6NLw09EwE0CqkOc4q9oUmW1yo/edit?usp=sharing"",""อุตรดิตถ์!M462"")"),0)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IFERROR(__xludf.DUMMYFUNCTION("IMPORTRANGE(""https://docs.google.com/spreadsheets/d/11923uPwbBZFjjGgGUA6NLw09EwE0CqkOc4q9oUmW1yo/edit?usp=sharing"",""อุตรดิตถ์!L463"")"),127280)</f>
        <v>127280</v>
      </c>
      <c r="M568" s="168"/>
      <c r="N568" s="168">
        <f ca="1">IFERROR(__xludf.DUMMYFUNCTION("IMPORTRANGE(""https://docs.google.com/spreadsheets/d/11923uPwbBZFjjGgGUA6NLw09EwE0CqkOc4q9oUmW1yo/edit?usp=sharing"",""อุตรดิตถ์!M463"")"),106344)</f>
        <v>106344</v>
      </c>
      <c r="O568" s="168">
        <f t="shared" ca="1" si="122"/>
        <v>83.551225644248902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IFERROR(__xludf.DUMMYFUNCTION("IMPORTRANGE(""https://docs.google.com/spreadsheets/d/11923uPwbBZFjjGgGUA6NLw09EwE0CqkOc4q9oUmW1yo/edit?usp=sharing"",""อุตรดิตถ์!M464"")"),0)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IFERROR(__xludf.DUMMYFUNCTION("IMPORTRANGE(""https://docs.google.com/spreadsheets/d/11923uPwbBZFjjGgGUA6NLw09EwE0CqkOc4q9oUmW1yo/edit?usp=sharing"",""อุตรดิตถ์!M465"")"),0)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IFERROR(__xludf.DUMMYFUNCTION("IMPORTRANGE(""https://docs.google.com/spreadsheets/d/11923uPwbBZFjjGgGUA6NLw09EwE0CqkOc4q9oUmW1yo/edit?usp=sharing"",""อุตรดิตถ์!M466"")"),84388)</f>
        <v>84388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IFERROR(__xludf.DUMMYFUNCTION("IMPORTRANGE(""https://docs.google.com/spreadsheets/d/11923uPwbBZFjjGgGUA6NLw09EwE0CqkOc4q9oUmW1yo/edit?usp=sharing"",""อุตรดิตถ์!M467"")"),21956)</f>
        <v>21956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IFERROR(__xludf.DUMMYFUNCTION("IMPORTRANGE(""https://docs.google.com/spreadsheets/d/11923uPwbBZFjjGgGUA6NLw09EwE0CqkOc4q9oUmW1yo/edit?usp=sharing"",""อุตรดิตถ์!I468"")"),1100)</f>
        <v>1100</v>
      </c>
      <c r="J573" s="420">
        <f ca="1">IFERROR(__xludf.DUMMYFUNCTION("IMPORTRANGE(""https://docs.google.com/spreadsheets/d/11923uPwbBZFjjGgGUA6NLw09EwE0CqkOc4q9oUmW1yo/edit?usp=sharing"",""อุตรดิตถ์!J468"")"),3773)</f>
        <v>3773</v>
      </c>
      <c r="K573" s="201">
        <f ca="1">IF(I573&gt;0,J573*100/I573,0)</f>
        <v>343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IFERROR(__xludf.DUMMYFUNCTION("IMPORTRANGE(""https://docs.google.com/spreadsheets/d/11923uPwbBZFjjGgGUA6NLw09EwE0CqkOc4q9oUmW1yo/edit?usp=sharing"",""อุตรดิตถ์!I470"")"),0)</f>
        <v>0</v>
      </c>
      <c r="J575" s="197">
        <f ca="1">IFERROR(__xludf.DUMMYFUNCTION("IMPORTRANGE(""https://docs.google.com/spreadsheets/d/11923uPwbBZFjjGgGUA6NLw09EwE0CqkOc4q9oUmW1yo/edit?usp=sharing"",""อุตรดิตถ์!J470"")"),6)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IFERROR(__xludf.DUMMYFUNCTION("IMPORTRANGE(""https://docs.google.com/spreadsheets/d/11923uPwbBZFjjGgGUA6NLw09EwE0CqkOc4q9oUmW1yo/edit?usp=sharing"",""อุตรดิตถ์!I471"")"),0)</f>
        <v>0</v>
      </c>
      <c r="J576" s="197">
        <f ca="1">IFERROR(__xludf.DUMMYFUNCTION("IMPORTRANGE(""https://docs.google.com/spreadsheets/d/11923uPwbBZFjjGgGUA6NLw09EwE0CqkOc4q9oUmW1yo/edit?usp=sharing"",""อุตรดิตถ์!J471"")"),349)</f>
        <v>349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IFERROR(__xludf.DUMMYFUNCTION("IMPORTRANGE(""https://docs.google.com/spreadsheets/d/11923uPwbBZFjjGgGUA6NLw09EwE0CqkOc4q9oUmW1yo/edit?usp=sharing"",""อุตรดิตถ์!I472"")"),0)</f>
        <v>0</v>
      </c>
      <c r="J577" s="188">
        <f ca="1">IFERROR(__xludf.DUMMYFUNCTION("IMPORTRANGE(""https://docs.google.com/spreadsheets/d/11923uPwbBZFjjGgGUA6NLw09EwE0CqkOc4q9oUmW1yo/edit?usp=sharing"",""อุตรดิตถ์!J472"")"),2650)</f>
        <v>2650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IFERROR(__xludf.DUMMYFUNCTION("IMPORTRANGE(""https://docs.google.com/spreadsheets/d/11923uPwbBZFjjGgGUA6NLw09EwE0CqkOc4q9oUmW1yo/edit?usp=sharing"",""อุตรดิตถ์!I473"")"),0)</f>
        <v>0</v>
      </c>
      <c r="J578" s="197">
        <f ca="1">IFERROR(__xludf.DUMMYFUNCTION("IMPORTRANGE(""https://docs.google.com/spreadsheets/d/11923uPwbBZFjjGgGUA6NLw09EwE0CqkOc4q9oUmW1yo/edit?usp=sharing"",""อุตรดิตถ์!J473"")"),1)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IFERROR(__xludf.DUMMYFUNCTION("IMPORTRANGE(""https://docs.google.com/spreadsheets/d/11923uPwbBZFjjGgGUA6NLw09EwE0CqkOc4q9oUmW1yo/edit?usp=sharing"",""อุตรดิตถ์!I474"")"),0)</f>
        <v>0</v>
      </c>
      <c r="J579" s="197">
        <f ca="1">IFERROR(__xludf.DUMMYFUNCTION("IMPORTRANGE(""https://docs.google.com/spreadsheets/d/11923uPwbBZFjjGgGUA6NLw09EwE0CqkOc4q9oUmW1yo/edit?usp=sharing"",""อุตรดิตถ์!J474"")"),773)</f>
        <v>773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IFERROR(__xludf.DUMMYFUNCTION("IMPORTRANGE(""https://docs.google.com/spreadsheets/d/11923uPwbBZFjjGgGUA6NLw09EwE0CqkOc4q9oUmW1yo/edit?usp=sharing"",""อุตรดิตถ์!I475"")"),0)</f>
        <v>0</v>
      </c>
      <c r="J580" s="370">
        <f ca="1">IFERROR(__xludf.DUMMYFUNCTION("IMPORTRANGE(""https://docs.google.com/spreadsheets/d/11923uPwbBZFjjGgGUA6NLw09EwE0CqkOc4q9oUmW1yo/edit?usp=sharing"",""อุตรดิตถ์!J475"")"),0)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IFERROR(__xludf.DUMMYFUNCTION("IMPORTRANGE(""https://docs.google.com/spreadsheets/d/11923uPwbBZFjjGgGUA6NLw09EwE0CqkOc4q9oUmW1yo/edit?usp=sharing"",""อุตรดิตถ์!L475"")"),0)</f>
        <v>0</v>
      </c>
      <c r="M580" s="372"/>
      <c r="N580" s="372">
        <f ca="1">IFERROR(__xludf.DUMMYFUNCTION("IMPORTRANGE(""https://docs.google.com/spreadsheets/d/11923uPwbBZFjjGgGUA6NLw09EwE0CqkOc4q9oUmW1yo/edit?usp=sharing"",""อุตรดิตถ์!M475"")"),0)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IFERROR(__xludf.DUMMYFUNCTION("IMPORTRANGE(""https://docs.google.com/spreadsheets/d/11923uPwbBZFjjGgGUA6NLw09EwE0CqkOc4q9oUmW1yo/edit?usp=sharing"",""อุตรดิตถ์!L476"")"),0)</f>
        <v>0</v>
      </c>
      <c r="M581" s="164"/>
      <c r="N581" s="168">
        <f ca="1">IFERROR(__xludf.DUMMYFUNCTION("IMPORTRANGE(""https://docs.google.com/spreadsheets/d/11923uPwbBZFjjGgGUA6NLw09EwE0CqkOc4q9oUmW1yo/edit?usp=sharing"",""อุตรดิตถ์!M476"")"),0)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IFERROR(__xludf.DUMMYFUNCTION("IMPORTRANGE(""https://docs.google.com/spreadsheets/d/11923uPwbBZFjjGgGUA6NLw09EwE0CqkOc4q9oUmW1yo/edit?usp=sharing"",""อุตรดิตถ์!L477"")"),0)</f>
        <v>0</v>
      </c>
      <c r="M582" s="165"/>
      <c r="N582" s="168">
        <f ca="1">IFERROR(__xludf.DUMMYFUNCTION("IMPORTRANGE(""https://docs.google.com/spreadsheets/d/11923uPwbBZFjjGgGUA6NLw09EwE0CqkOc4q9oUmW1yo/edit?usp=sharing"",""อุตรดิตถ์!M477"")"),0)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IFERROR(__xludf.DUMMYFUNCTION("IMPORTRANGE(""https://docs.google.com/spreadsheets/d/11923uPwbBZFjjGgGUA6NLw09EwE0CqkOc4q9oUmW1yo/edit?usp=sharing"",""อุตรดิตถ์!L478"")"),0)</f>
        <v>0</v>
      </c>
      <c r="M583" s="168"/>
      <c r="N583" s="168">
        <f ca="1">IFERROR(__xludf.DUMMYFUNCTION("IMPORTRANGE(""https://docs.google.com/spreadsheets/d/11923uPwbBZFjjGgGUA6NLw09EwE0CqkOc4q9oUmW1yo/edit?usp=sharing"",""อุตรดิตถ์!M478"")"),0)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IFERROR(__xludf.DUMMYFUNCTION("IMPORTRANGE(""https://docs.google.com/spreadsheets/d/11923uPwbBZFjjGgGUA6NLw09EwE0CqkOc4q9oUmW1yo/edit?usp=sharing"",""อุตรดิตถ์!L479"")"),0)</f>
        <v>0</v>
      </c>
      <c r="M584" s="168"/>
      <c r="N584" s="168">
        <f ca="1">IFERROR(__xludf.DUMMYFUNCTION("IMPORTRANGE(""https://docs.google.com/spreadsheets/d/11923uPwbBZFjjGgGUA6NLw09EwE0CqkOc4q9oUmW1yo/edit?usp=sharing"",""อุตรดิตถ์!M479"")"),0)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IFERROR(__xludf.DUMMYFUNCTION("IMPORTRANGE(""https://docs.google.com/spreadsheets/d/11923uPwbBZFjjGgGUA6NLw09EwE0CqkOc4q9oUmW1yo/edit?usp=sharing"",""อุตรดิตถ์!M480"")"),0)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IFERROR(__xludf.DUMMYFUNCTION("IMPORTRANGE(""https://docs.google.com/spreadsheets/d/11923uPwbBZFjjGgGUA6NLw09EwE0CqkOc4q9oUmW1yo/edit?usp=sharing"",""อุตรดิตถ์!M481"")"),0)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IFERROR(__xludf.DUMMYFUNCTION("IMPORTRANGE(""https://docs.google.com/spreadsheets/d/11923uPwbBZFjjGgGUA6NLw09EwE0CqkOc4q9oUmW1yo/edit?usp=sharing"",""อุตรดิตถ์!M482"")"),0)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IFERROR(__xludf.DUMMYFUNCTION("IMPORTRANGE(""https://docs.google.com/spreadsheets/d/11923uPwbBZFjjGgGUA6NLw09EwE0CqkOc4q9oUmW1yo/edit?usp=sharing"",""อุตรดิตถ์!M483"")"),0)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IFERROR(__xludf.DUMMYFUNCTION("IMPORTRANGE(""https://docs.google.com/spreadsheets/d/11923uPwbBZFjjGgGUA6NLw09EwE0CqkOc4q9oUmW1yo/edit?usp=sharing"",""อุตรดิตถ์!I484"")"),0)</f>
        <v>0</v>
      </c>
      <c r="J589" s="187">
        <f ca="1">IFERROR(__xludf.DUMMYFUNCTION("IMPORTRANGE(""https://docs.google.com/spreadsheets/d/11923uPwbBZFjjGgGUA6NLw09EwE0CqkOc4q9oUmW1yo/edit?usp=sharing"",""อุตรดิตถ์!J484"")"),2)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IFERROR(__xludf.DUMMYFUNCTION("IMPORTRANGE(""https://docs.google.com/spreadsheets/d/11923uPwbBZFjjGgGUA6NLw09EwE0CqkOc4q9oUmW1yo/edit?usp=sharing"",""อุตรดิตถ์!I485"")"),0)</f>
        <v>0</v>
      </c>
      <c r="J590" s="18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IFERROR(__xludf.DUMMYFUNCTION("IMPORTRANGE(""https://docs.google.com/spreadsheets/d/11923uPwbBZFjjGgGUA6NLw09EwE0CqkOc4q9oUmW1yo/edit?usp=sharing"",""อุตรดิตถ์!I486"")"),0)</f>
        <v>0</v>
      </c>
      <c r="J591" s="187">
        <f ca="1">IFERROR(__xludf.DUMMYFUNCTION("IMPORTRANGE(""https://docs.google.com/spreadsheets/d/11923uPwbBZFjjGgGUA6NLw09EwE0CqkOc4q9oUmW1yo/edit?usp=sharing"",""อุตรดิตถ์!J486"")"),2)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IFERROR(__xludf.DUMMYFUNCTION("IMPORTRANGE(""https://docs.google.com/spreadsheets/d/11923uPwbBZFjjGgGUA6NLw09EwE0CqkOc4q9oUmW1yo/edit?usp=sharing"",""อุตรดิตถ์!I487"")"),0)</f>
        <v>0</v>
      </c>
      <c r="J592" s="18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IFERROR(__xludf.DUMMYFUNCTION("IMPORTRANGE(""https://docs.google.com/spreadsheets/d/11923uPwbBZFjjGgGUA6NLw09EwE0CqkOc4q9oUmW1yo/edit?usp=sharing"",""อุตรดิตถ์!I488"")"),0)</f>
        <v>0</v>
      </c>
      <c r="J593" s="187">
        <f ca="1">IFERROR(__xludf.DUMMYFUNCTION("IMPORTRANGE(""https://docs.google.com/spreadsheets/d/11923uPwbBZFjjGgGUA6NLw09EwE0CqkOc4q9oUmW1yo/edit?usp=sharing"",""อุตรดิตถ์!J488"")"),0)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IFERROR(__xludf.DUMMYFUNCTION("IMPORTRANGE(""https://docs.google.com/spreadsheets/d/11923uPwbBZFjjGgGUA6NLw09EwE0CqkOc4q9oUmW1yo/edit?usp=sharing"",""อุตรดิตถ์!I489"")"),0)</f>
        <v>0</v>
      </c>
      <c r="J594" s="187">
        <f ca="1">IFERROR(__xludf.DUMMYFUNCTION("IMPORTRANGE(""https://docs.google.com/spreadsheets/d/11923uPwbBZFjjGgGUA6NLw09EwE0CqkOc4q9oUmW1yo/edit?usp=sharing"",""อุตรดิตถ์!J489"")"),0)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IFERROR(__xludf.DUMMYFUNCTION("IMPORTRANGE(""https://docs.google.com/spreadsheets/d/11923uPwbBZFjjGgGUA6NLw09EwE0CqkOc4q9oUmW1yo/edit?usp=sharing"",""อุตรดิตถ์!I490"")"),0)</f>
        <v>0</v>
      </c>
      <c r="J595" s="187">
        <f ca="1">IFERROR(__xludf.DUMMYFUNCTION("IMPORTRANGE(""https://docs.google.com/spreadsheets/d/11923uPwbBZFjjGgGUA6NLw09EwE0CqkOc4q9oUmW1yo/edit?usp=sharing"",""อุตรดิตถ์!J490"")"),0)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IFERROR(__xludf.DUMMYFUNCTION("IMPORTRANGE(""https://docs.google.com/spreadsheets/d/11923uPwbBZFjjGgGUA6NLw09EwE0CqkOc4q9oUmW1yo/edit?usp=sharing"",""อุตรดิตถ์!I491"")"),0)</f>
        <v>0</v>
      </c>
      <c r="J596" s="241">
        <f ca="1">IFERROR(__xludf.DUMMYFUNCTION("IMPORTRANGE(""https://docs.google.com/spreadsheets/d/11923uPwbBZFjjGgGUA6NLw09EwE0CqkOc4q9oUmW1yo/edit?usp=sharing"",""อุตรดิตถ์!J491"")"),0)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IFERROR(__xludf.DUMMYFUNCTION("IMPORTRANGE(""https://docs.google.com/spreadsheets/d/11923uPwbBZFjjGgGUA6NLw09EwE0CqkOc4q9oUmW1yo/edit?usp=sharing"",""อุตรดิตถ์!I492"")"),50)</f>
        <v>50</v>
      </c>
      <c r="J597" s="488">
        <f ca="1">IFERROR(__xludf.DUMMYFUNCTION("IMPORTRANGE(""https://docs.google.com/spreadsheets/d/11923uPwbBZFjjGgGUA6NLw09EwE0CqkOc4q9oUmW1yo/edit?usp=sharing"",""อุตรดิตถ์!J492"")"),0)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IFERROR(__xludf.DUMMYFUNCTION("IMPORTRANGE(""https://docs.google.com/spreadsheets/d/11923uPwbBZFjjGgGUA6NLw09EwE0CqkOc4q9oUmW1yo/edit?usp=sharing"",""อุตรดิตถ์!L492"")"),6150)</f>
        <v>6150</v>
      </c>
      <c r="M597" s="411"/>
      <c r="N597" s="411">
        <f ca="1">IFERROR(__xludf.DUMMYFUNCTION("IMPORTRANGE(""https://docs.google.com/spreadsheets/d/11923uPwbBZFjjGgGUA6NLw09EwE0CqkOc4q9oUmW1yo/edit?usp=sharing"",""อุตรดิตถ์!M492"")"),1600)</f>
        <v>1600</v>
      </c>
      <c r="O597" s="411">
        <f t="shared" ref="O597:O601" ca="1" si="126">+IF(L597&gt;0,N597*100/L597,0)</f>
        <v>26.016260162601625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IFERROR(__xludf.DUMMYFUNCTION("IMPORTRANGE(""https://docs.google.com/spreadsheets/d/11923uPwbBZFjjGgGUA6NLw09EwE0CqkOc4q9oUmW1yo/edit?usp=sharing"",""อุตรดิตถ์!L493"")"),0)</f>
        <v>0</v>
      </c>
      <c r="M598" s="164"/>
      <c r="N598" s="168">
        <f ca="1">IFERROR(__xludf.DUMMYFUNCTION("IMPORTRANGE(""https://docs.google.com/spreadsheets/d/11923uPwbBZFjjGgGUA6NLw09EwE0CqkOc4q9oUmW1yo/edit?usp=sharing"",""อุตรดิตถ์!M493"")"),0)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IFERROR(__xludf.DUMMYFUNCTION("IMPORTRANGE(""https://docs.google.com/spreadsheets/d/11923uPwbBZFjjGgGUA6NLw09EwE0CqkOc4q9oUmW1yo/edit?usp=sharing"",""อุตรดิตถ์!L494"")"),6150)</f>
        <v>6150</v>
      </c>
      <c r="M599" s="165"/>
      <c r="N599" s="168">
        <f ca="1">IFERROR(__xludf.DUMMYFUNCTION("IMPORTRANGE(""https://docs.google.com/spreadsheets/d/11923uPwbBZFjjGgGUA6NLw09EwE0CqkOc4q9oUmW1yo/edit?usp=sharing"",""อุตรดิตถ์!M494"")"),1600)</f>
        <v>1600</v>
      </c>
      <c r="O599" s="168">
        <f t="shared" ca="1" si="126"/>
        <v>26.016260162601625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IFERROR(__xludf.DUMMYFUNCTION("IMPORTRANGE(""https://docs.google.com/spreadsheets/d/11923uPwbBZFjjGgGUA6NLw09EwE0CqkOc4q9oUmW1yo/edit?usp=sharing"",""อุตรดิตถ์!L495"")"),0)</f>
        <v>0</v>
      </c>
      <c r="M600" s="168"/>
      <c r="N600" s="168">
        <f ca="1">IFERROR(__xludf.DUMMYFUNCTION("IMPORTRANGE(""https://docs.google.com/spreadsheets/d/11923uPwbBZFjjGgGUA6NLw09EwE0CqkOc4q9oUmW1yo/edit?usp=sharing"",""อุตรดิตถ์!M495"")"),0)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IFERROR(__xludf.DUMMYFUNCTION("IMPORTRANGE(""https://docs.google.com/spreadsheets/d/11923uPwbBZFjjGgGUA6NLw09EwE0CqkOc4q9oUmW1yo/edit?usp=sharing"",""อุตรดิตถ์!L496"")"),6150)</f>
        <v>6150</v>
      </c>
      <c r="M601" s="168"/>
      <c r="N601" s="168">
        <f ca="1">IFERROR(__xludf.DUMMYFUNCTION("IMPORTRANGE(""https://docs.google.com/spreadsheets/d/11923uPwbBZFjjGgGUA6NLw09EwE0CqkOc4q9oUmW1yo/edit?usp=sharing"",""อุตรดิตถ์!M496"")"),1600)</f>
        <v>1600</v>
      </c>
      <c r="O601" s="168">
        <f t="shared" ca="1" si="126"/>
        <v>26.016260162601625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IFERROR(__xludf.DUMMYFUNCTION("IMPORTRANGE(""https://docs.google.com/spreadsheets/d/11923uPwbBZFjjGgGUA6NLw09EwE0CqkOc4q9oUmW1yo/edit?usp=sharing"",""อุตรดิตถ์!M497"")"),0)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IFERROR(__xludf.DUMMYFUNCTION("IMPORTRANGE(""https://docs.google.com/spreadsheets/d/11923uPwbBZFjjGgGUA6NLw09EwE0CqkOc4q9oUmW1yo/edit?usp=sharing"",""อุตรดิตถ์!M498"")"),0)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IFERROR(__xludf.DUMMYFUNCTION("IMPORTRANGE(""https://docs.google.com/spreadsheets/d/11923uPwbBZFjjGgGUA6NLw09EwE0CqkOc4q9oUmW1yo/edit?usp=sharing"",""อุตรดิตถ์!M499"")"),0)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IFERROR(__xludf.DUMMYFUNCTION("IMPORTRANGE(""https://docs.google.com/spreadsheets/d/11923uPwbBZFjjGgGUA6NLw09EwE0CqkOc4q9oUmW1yo/edit?usp=sharing"",""อุตรดิตถ์!M500"")"),1600)</f>
        <v>1600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IFERROR(__xludf.DUMMYFUNCTION("IMPORTRANGE(""https://docs.google.com/spreadsheets/d/11923uPwbBZFjjGgGUA6NLw09EwE0CqkOc4q9oUmW1yo/edit?usp=sharing"",""อุตรดิตถ์!J502"")"),0)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IFERROR(__xludf.DUMMYFUNCTION("IMPORTRANGE(""https://docs.google.com/spreadsheets/d/11923uPwbBZFjjGgGUA6NLw09EwE0CqkOc4q9oUmW1yo/edit?usp=sharing"",""อุตรดิตถ์!J503"")"),1)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IFERROR(__xludf.DUMMYFUNCTION("IMPORTRANGE(""https://docs.google.com/spreadsheets/d/11923uPwbBZFjjGgGUA6NLw09EwE0CqkOc4q9oUmW1yo/edit?usp=sharing"",""อุตรดิตถ์!J166"")"),0)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IFERROR(__xludf.DUMMYFUNCTION("IMPORTRANGE(""https://docs.google.com/spreadsheets/d/11923uPwbBZFjjGgGUA6NLw09EwE0CqkOc4q9oUmW1yo/edit?usp=sharing"",""อุตรดิตถ์!J166"")"),0)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IFERROR(__xludf.DUMMYFUNCTION("IMPORTRANGE(""https://docs.google.com/spreadsheets/d/11923uPwbBZFjjGgGUA6NLw09EwE0CqkOc4q9oUmW1yo/edit?usp=sharing"",""อุตรดิตถ์!I506"")"),50)</f>
        <v>50</v>
      </c>
      <c r="J611" s="162">
        <f ca="1">IFERROR(__xludf.DUMMYFUNCTION("IMPORTRANGE(""https://docs.google.com/spreadsheets/d/11923uPwbBZFjjGgGUA6NLw09EwE0CqkOc4q9oUmW1yo/edit?usp=sharing"",""อุตรดิตถ์!J506"")"),0)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IFERROR(__xludf.DUMMYFUNCTION("IMPORTRANGE(""https://docs.google.com/spreadsheets/d/11923uPwbBZFjjGgGUA6NLw09EwE0CqkOc4q9oUmW1yo/edit?usp=sharing"",""อุตรดิตถ์!I507"")"),0)</f>
        <v>0</v>
      </c>
      <c r="J612" s="197">
        <f ca="1">IFERROR(__xludf.DUMMYFUNCTION("IMPORTRANGE(""https://docs.google.com/spreadsheets/d/11923uPwbBZFjjGgGUA6NLw09EwE0CqkOc4q9oUmW1yo/edit?usp=sharing"",""อุตรดิตถ์!J507"")"),0)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IFERROR(__xludf.DUMMYFUNCTION("IMPORTRANGE(""https://docs.google.com/spreadsheets/d/11923uPwbBZFjjGgGUA6NLw09EwE0CqkOc4q9oUmW1yo/edit?usp=sharing"",""อุตรดิตถ์!I508"")"),0)</f>
        <v>0</v>
      </c>
      <c r="J613" s="197">
        <f ca="1">IFERROR(__xludf.DUMMYFUNCTION("IMPORTRANGE(""https://docs.google.com/spreadsheets/d/11923uPwbBZFjjGgGUA6NLw09EwE0CqkOc4q9oUmW1yo/edit?usp=sharing"",""อุตรดิตถ์!J508"")"),0)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IFERROR(__xludf.DUMMYFUNCTION("IMPORTRANGE(""https://docs.google.com/spreadsheets/d/11923uPwbBZFjjGgGUA6NLw09EwE0CqkOc4q9oUmW1yo/edit?usp=sharing"",""อุตรดิตถ์!I509"")"),0)</f>
        <v>0</v>
      </c>
      <c r="J614" s="197">
        <f ca="1">IFERROR(__xludf.DUMMYFUNCTION("IMPORTRANGE(""https://docs.google.com/spreadsheets/d/11923uPwbBZFjjGgGUA6NLw09EwE0CqkOc4q9oUmW1yo/edit?usp=sharing"",""อุตรดิตถ์!J509"")"),0)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IFERROR(__xludf.DUMMYFUNCTION("IMPORTRANGE(""https://docs.google.com/spreadsheets/d/11923uPwbBZFjjGgGUA6NLw09EwE0CqkOc4q9oUmW1yo/edit?usp=sharing"",""อุตรดิตถ์!I510"")"),0)</f>
        <v>0</v>
      </c>
      <c r="J615" s="197">
        <f ca="1">IFERROR(__xludf.DUMMYFUNCTION("IMPORTRANGE(""https://docs.google.com/spreadsheets/d/11923uPwbBZFjjGgGUA6NLw09EwE0CqkOc4q9oUmW1yo/edit?usp=sharing"",""อุตรดิตถ์!J510"")"),0)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IFERROR(__xludf.DUMMYFUNCTION("IMPORTRANGE(""https://docs.google.com/spreadsheets/d/11923uPwbBZFjjGgGUA6NLw09EwE0CqkOc4q9oUmW1yo/edit?usp=sharing"",""อุตรดิตถ์!I511"")"),0)</f>
        <v>0</v>
      </c>
      <c r="J616" s="197">
        <f ca="1">IFERROR(__xludf.DUMMYFUNCTION("IMPORTRANGE(""https://docs.google.com/spreadsheets/d/11923uPwbBZFjjGgGUA6NLw09EwE0CqkOc4q9oUmW1yo/edit?usp=sharing"",""อุตรดิตถ์!J511"")"),0)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IFERROR(__xludf.DUMMYFUNCTION("IMPORTRANGE(""https://docs.google.com/spreadsheets/d/11923uPwbBZFjjGgGUA6NLw09EwE0CqkOc4q9oUmW1yo/edit?usp=sharing"",""อุตรดิตถ์!I512"")"),0)</f>
        <v>0</v>
      </c>
      <c r="J617" s="187">
        <f ca="1">IFERROR(__xludf.DUMMYFUNCTION("IMPORTRANGE(""https://docs.google.com/spreadsheets/d/11923uPwbBZFjjGgGUA6NLw09EwE0CqkOc4q9oUmW1yo/edit?usp=sharing"",""อุตรดิตถ์!J512"")"),0)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IFERROR(__xludf.DUMMYFUNCTION("IMPORTRANGE(""https://docs.google.com/spreadsheets/d/11923uPwbBZFjjGgGUA6NLw09EwE0CqkOc4q9oUmW1yo/edit?usp=sharing"",""อุตรดิตถ์!I513"")"),0)</f>
        <v>0</v>
      </c>
      <c r="J618" s="188">
        <f ca="1">IFERROR(__xludf.DUMMYFUNCTION("IMPORTRANGE(""https://docs.google.com/spreadsheets/d/11923uPwbBZFjjGgGUA6NLw09EwE0CqkOc4q9oUmW1yo/edit?usp=sharing"",""อุตรดิตถ์!J513"")"),0)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IFERROR(__xludf.DUMMYFUNCTION("IMPORTRANGE(""https://docs.google.com/spreadsheets/d/11923uPwbBZFjjGgGUA6NLw09EwE0CqkOc4q9oUmW1yo/edit?usp=sharing"",""อุตรดิตถ์!I514"")"),0)</f>
        <v>0</v>
      </c>
      <c r="J619" s="188">
        <f ca="1">IFERROR(__xludf.DUMMYFUNCTION("IMPORTRANGE(""https://docs.google.com/spreadsheets/d/11923uPwbBZFjjGgGUA6NLw09EwE0CqkOc4q9oUmW1yo/edit?usp=sharing"",""อุตรดิตถ์!J514"")"),0)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IFERROR(__xludf.DUMMYFUNCTION("IMPORTRANGE(""https://docs.google.com/spreadsheets/d/11923uPwbBZFjjGgGUA6NLw09EwE0CqkOc4q9oUmW1yo/edit?usp=sharing"",""อุตรดิตถ์!I515"")"),1577)</f>
        <v>1577</v>
      </c>
      <c r="J620" s="202">
        <f ca="1">IFERROR(__xludf.DUMMYFUNCTION("IMPORTRANGE(""https://docs.google.com/spreadsheets/d/11923uPwbBZFjjGgGUA6NLw09EwE0CqkOc4q9oUmW1yo/edit?usp=sharing"",""อุตรดิตถ์!J515"")"),0)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IFERROR(__xludf.DUMMYFUNCTION("IMPORTRANGE(""https://docs.google.com/spreadsheets/d/11923uPwbBZFjjGgGUA6NLw09EwE0CqkOc4q9oUmW1yo/edit?usp=sharing"",""อุตรดิตถ์!I516"")"),0)</f>
        <v>0</v>
      </c>
      <c r="J621" s="202">
        <f ca="1">IFERROR(__xludf.DUMMYFUNCTION("IMPORTRANGE(""https://docs.google.com/spreadsheets/d/11923uPwbBZFjjGgGUA6NLw09EwE0CqkOc4q9oUmW1yo/edit?usp=sharing"",""อุตรดิตถ์!J516"")"),0)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IFERROR(__xludf.DUMMYFUNCTION("IMPORTRANGE(""https://docs.google.com/spreadsheets/d/11923uPwbBZFjjGgGUA6NLw09EwE0CqkOc4q9oUmW1yo/edit?usp=sharing"",""อุตรดิตถ์!I517"")"),0)</f>
        <v>0</v>
      </c>
      <c r="J622" s="188">
        <f ca="1">IFERROR(__xludf.DUMMYFUNCTION("IMPORTRANGE(""https://docs.google.com/spreadsheets/d/11923uPwbBZFjjGgGUA6NLw09EwE0CqkOc4q9oUmW1yo/edit?usp=sharing"",""อุตรดิตถ์!J517"")"),0)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IFERROR(__xludf.DUMMYFUNCTION("IMPORTRANGE(""https://docs.google.com/spreadsheets/d/11923uPwbBZFjjGgGUA6NLw09EwE0CqkOc4q9oUmW1yo/edit?usp=sharing"",""อุตรดิตถ์!I518"")"),0)</f>
        <v>0</v>
      </c>
      <c r="J623" s="188">
        <f ca="1">IFERROR(__xludf.DUMMYFUNCTION("IMPORTRANGE(""https://docs.google.com/spreadsheets/d/11923uPwbBZFjjGgGUA6NLw09EwE0CqkOc4q9oUmW1yo/edit?usp=sharing"",""อุตรดิตถ์!J518"")"),0)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IFERROR(__xludf.DUMMYFUNCTION("IMPORTRANGE(""https://docs.google.com/spreadsheets/d/11923uPwbBZFjjGgGUA6NLw09EwE0CqkOc4q9oUmW1yo/edit?usp=sharing"",""อุตรดิตถ์!I519"")"),0)</f>
        <v>0</v>
      </c>
      <c r="J624" s="187">
        <f ca="1">IFERROR(__xludf.DUMMYFUNCTION("IMPORTRANGE(""https://docs.google.com/spreadsheets/d/11923uPwbBZFjjGgGUA6NLw09EwE0CqkOc4q9oUmW1yo/edit?usp=sharing"",""อุตรดิตถ์!J519"")"),0)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IFERROR(__xludf.DUMMYFUNCTION("IMPORTRANGE(""https://docs.google.com/spreadsheets/d/11923uPwbBZFjjGgGUA6NLw09EwE0CqkOc4q9oUmW1yo/edit?usp=sharing"",""อุตรดิตถ์!I520"")"),0)</f>
        <v>0</v>
      </c>
      <c r="J625" s="188">
        <f ca="1">IFERROR(__xludf.DUMMYFUNCTION("IMPORTRANGE(""https://docs.google.com/spreadsheets/d/11923uPwbBZFjjGgGUA6NLw09EwE0CqkOc4q9oUmW1yo/edit?usp=sharing"",""อุตรดิตถ์!J520"")"),0)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IFERROR(__xludf.DUMMYFUNCTION("IMPORTRANGE(""https://docs.google.com/spreadsheets/d/11923uPwbBZFjjGgGUA6NLw09EwE0CqkOc4q9oUmW1yo/edit?usp=sharing"",""อุตรดิตถ์!I521"")"),0)</f>
        <v>0</v>
      </c>
      <c r="J626" s="188">
        <f ca="1">IFERROR(__xludf.DUMMYFUNCTION("IMPORTRANGE(""https://docs.google.com/spreadsheets/d/11923uPwbBZFjjGgGUA6NLw09EwE0CqkOc4q9oUmW1yo/edit?usp=sharing"",""อุตรดิตถ์!J521"")"),0)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IFERROR(__xludf.DUMMYFUNCTION("IMPORTRANGE(""https://docs.google.com/spreadsheets/d/11923uPwbBZFjjGgGUA6NLw09EwE0CqkOc4q9oUmW1yo/edit?usp=sharing"",""อุตรดิตถ์!I523"")"),14484921.75)</f>
        <v>14484921.75</v>
      </c>
      <c r="J628" s="341">
        <f ca="1">IFERROR(__xludf.DUMMYFUNCTION("IMPORTRANGE(""https://docs.google.com/spreadsheets/d/11923uPwbBZFjjGgGUA6NLw09EwE0CqkOc4q9oUmW1yo/edit?usp=sharing"",""อุตรดิตถ์!J523"")"),11125821.67)</f>
        <v>11125821.67</v>
      </c>
      <c r="K628" s="342">
        <f t="shared" ref="K628:K635" ca="1" si="129">IF(I628&gt;0,J628*100/I628,0)</f>
        <v>76.809677415067839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IFERROR(__xludf.DUMMYFUNCTION("IMPORTRANGE(""https://docs.google.com/spreadsheets/d/11923uPwbBZFjjGgGUA6NLw09EwE0CqkOc4q9oUmW1yo/edit?usp=sharing"",""อุตรดิตถ์!I524"")"),823)</f>
        <v>823</v>
      </c>
      <c r="J629" s="341">
        <f ca="1">IFERROR(__xludf.DUMMYFUNCTION("IMPORTRANGE(""https://docs.google.com/spreadsheets/d/11923uPwbBZFjjGgGUA6NLw09EwE0CqkOc4q9oUmW1yo/edit?usp=sharing"",""อุตรดิตถ์!J524"")"),800)</f>
        <v>800</v>
      </c>
      <c r="K629" s="342">
        <f t="shared" ca="1" si="129"/>
        <v>97.205346294046166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IFERROR(__xludf.DUMMYFUNCTION("IMPORTRANGE(""https://docs.google.com/spreadsheets/d/11923uPwbBZFjjGgGUA6NLw09EwE0CqkOc4q9oUmW1yo/edit?usp=sharing"",""อุตรดิตถ์!I525"")"),19312390.9)</f>
        <v>19312390.899999999</v>
      </c>
      <c r="J630" s="341">
        <f ca="1">IFERROR(__xludf.DUMMYFUNCTION("IMPORTRANGE(""https://docs.google.com/spreadsheets/d/11923uPwbBZFjjGgGUA6NLw09EwE0CqkOc4q9oUmW1yo/edit?usp=sharing"",""อุตรดิตถ์!J525"")"),2206051.68)</f>
        <v>2206051.6800000002</v>
      </c>
      <c r="K630" s="342">
        <f t="shared" ca="1" si="129"/>
        <v>11.422985851016513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IFERROR(__xludf.DUMMYFUNCTION("IMPORTRANGE(""https://docs.google.com/spreadsheets/d/11923uPwbBZFjjGgGUA6NLw09EwE0CqkOc4q9oUmW1yo/edit?usp=sharing"",""อุตรดิตถ์!I526"")"),698)</f>
        <v>698</v>
      </c>
      <c r="J631" s="341">
        <f ca="1">IFERROR(__xludf.DUMMYFUNCTION("IMPORTRANGE(""https://docs.google.com/spreadsheets/d/11923uPwbBZFjjGgGUA6NLw09EwE0CqkOc4q9oUmW1yo/edit?usp=sharing"",""อุตรดิตถ์!J526"")"),345)</f>
        <v>345</v>
      </c>
      <c r="K631" s="342">
        <f t="shared" ca="1" si="129"/>
        <v>49.426934097421203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41">
        <f ca="1">IFERROR(__xludf.DUMMYFUNCTION("IMPORTRANGE(""https://docs.google.com/spreadsheets/d/11923uPwbBZFjjGgGUA6NLw09EwE0CqkOc4q9oUmW1yo/edit?usp=sharing"",""อุตรดิตถ์!J527"")"),403144.81)</f>
        <v>403144.81</v>
      </c>
      <c r="K632" s="342">
        <f t="shared" ca="1" si="129"/>
        <v>14.627775593107787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IFERROR(__xludf.DUMMYFUNCTION("IMPORTRANGE(""https://docs.google.com/spreadsheets/d/11923uPwbBZFjjGgGUA6NLw09EwE0CqkOc4q9oUmW1yo/edit?usp=sharing"",""อุตรดิตถ์!I528"")"),79)</f>
        <v>79</v>
      </c>
      <c r="J633" s="341">
        <f ca="1">IFERROR(__xludf.DUMMYFUNCTION("IMPORTRANGE(""https://docs.google.com/spreadsheets/d/11923uPwbBZFjjGgGUA6NLw09EwE0CqkOc4q9oUmW1yo/edit?usp=sharing"",""อุตรดิตถ์!J528"")"),45)</f>
        <v>45</v>
      </c>
      <c r="K633" s="342">
        <f t="shared" ca="1" si="129"/>
        <v>56.962025316455694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41">
        <f ca="1">IFERROR(__xludf.DUMMYFUNCTION("IMPORTRANGE(""https://docs.google.com/spreadsheets/d/11923uPwbBZFjjGgGUA6NLw09EwE0CqkOc4q9oUmW1yo/edit?usp=sharing"",""อุตรดิตถ์!J529"")"),8535000)</f>
        <v>8535000</v>
      </c>
      <c r="K634" s="342">
        <f t="shared" ca="1" si="129"/>
        <v>56.9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IFERROR(__xludf.DUMMYFUNCTION("IMPORTRANGE(""https://docs.google.com/spreadsheets/d/11923uPwbBZFjjGgGUA6NLw09EwE0CqkOc4q9oUmW1yo/edit?usp=sharing"",""อุตรดิตถ์!I530"")"),400)</f>
        <v>400</v>
      </c>
      <c r="J635" s="505">
        <f ca="1">IFERROR(__xludf.DUMMYFUNCTION("IMPORTRANGE(""https://docs.google.com/spreadsheets/d/11923uPwbBZFjjGgGUA6NLw09EwE0CqkOc4q9oUmW1yo/edit?usp=sharing"",""อุตรดิตถ์!J530"")"),195)</f>
        <v>195</v>
      </c>
      <c r="K635" s="487">
        <f t="shared" ca="1" si="129"/>
        <v>48.75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2420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2420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2420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IFERROR(__xludf.DUMMYFUNCTION("IMPORTRANGE(""https://docs.google.com/spreadsheets/d/11923uPwbBZFjjGgGUA6NLw09EwE0CqkOc4q9oUmW1yo/edit?usp=sharing"",""อุตรดิตถ์!J541"")"),0)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IFERROR(__xludf.DUMMYFUNCTION("IMPORTRANGE(""https://docs.google.com/spreadsheets/d/11923uPwbBZFjjGgGUA6NLw09EwE0CqkOc4q9oUmW1yo/edit?usp=sharing"",""อุตรดิตถ์!J542"")"),0)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IFERROR(__xludf.DUMMYFUNCTION("IMPORTRANGE(""https://docs.google.com/spreadsheets/d/11923uPwbBZFjjGgGUA6NLw09EwE0CqkOc4q9oUmW1yo/edit?usp=sharing"",""อุตรดิตถ์!I543"")"),0)</f>
        <v>0</v>
      </c>
      <c r="J648" s="536">
        <f ca="1">IFERROR(__xludf.DUMMYFUNCTION("IMPORTRANGE(""https://docs.google.com/spreadsheets/d/11923uPwbBZFjjGgGUA6NLw09EwE0CqkOc4q9oUmW1yo/edit?usp=sharing"",""อุตรดิตถ์!J543"")"),0)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IFERROR(__xludf.DUMMYFUNCTION("IMPORTRANGE(""https://docs.google.com/spreadsheets/d/11923uPwbBZFjjGgGUA6NLw09EwE0CqkOc4q9oUmW1yo/edit?usp=sharing"",""อุตรดิตถ์!L543"")"),0)</f>
        <v>0</v>
      </c>
      <c r="M648" s="521"/>
      <c r="N648" s="538">
        <f ca="1">IFERROR(__xludf.DUMMYFUNCTION("IMPORTRANGE(""https://docs.google.com/spreadsheets/d/11923uPwbBZFjjGgGUA6NLw09EwE0CqkOc4q9oUmW1yo/edit?usp=sharing"",""อุตรดิตถ์!M543"")"),0)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IFERROR(__xludf.DUMMYFUNCTION("IMPORTRANGE(""https://docs.google.com/spreadsheets/d/11923uPwbBZFjjGgGUA6NLw09EwE0CqkOc4q9oUmW1yo/edit?usp=sharing"",""อุตรดิตถ์!I544"")"),0)</f>
        <v>0</v>
      </c>
      <c r="J649" s="536">
        <f ca="1">IFERROR(__xludf.DUMMYFUNCTION("IMPORTRANGE(""https://docs.google.com/spreadsheets/d/11923uPwbBZFjjGgGUA6NLw09EwE0CqkOc4q9oUmW1yo/edit?usp=sharing"",""อุตรดิตถ์!J544"")"),0)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IFERROR(__xludf.DUMMYFUNCTION("IMPORTRANGE(""https://docs.google.com/spreadsheets/d/11923uPwbBZFjjGgGUA6NLw09EwE0CqkOc4q9oUmW1yo/edit?usp=sharing"",""อุตรดิตถ์!L544"")"),0)</f>
        <v>0</v>
      </c>
      <c r="M649" s="521"/>
      <c r="N649" s="538">
        <f ca="1">IFERROR(__xludf.DUMMYFUNCTION("IMPORTRANGE(""https://docs.google.com/spreadsheets/d/11923uPwbBZFjjGgGUA6NLw09EwE0CqkOc4q9oUmW1yo/edit?usp=sharing"",""อุตรดิตถ์!M544"")"),0)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IFERROR(__xludf.DUMMYFUNCTION("IMPORTRANGE(""https://docs.google.com/spreadsheets/d/11923uPwbBZFjjGgGUA6NLw09EwE0CqkOc4q9oUmW1yo/edit?usp=sharing"",""อุตรดิตถ์!I545"")"),4)</f>
        <v>4</v>
      </c>
      <c r="J650" s="536">
        <f ca="1">IFERROR(__xludf.DUMMYFUNCTION("IMPORTRANGE(""https://docs.google.com/spreadsheets/d/11923uPwbBZFjjGgGUA6NLw09EwE0CqkOc4q9oUmW1yo/edit?usp=sharing"",""อุตรดิตถ์!J545"")"),0)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IFERROR(__xludf.DUMMYFUNCTION("IMPORTRANGE(""https://docs.google.com/spreadsheets/d/11923uPwbBZFjjGgGUA6NLw09EwE0CqkOc4q9oUmW1yo/edit?usp=sharing"",""อุตรดิตถ์!L545"")"),20)</f>
        <v>20</v>
      </c>
      <c r="M650" s="521"/>
      <c r="N650" s="538">
        <f ca="1">IFERROR(__xludf.DUMMYFUNCTION("IMPORTRANGE(""https://docs.google.com/spreadsheets/d/11923uPwbBZFjjGgGUA6NLw09EwE0CqkOc4q9oUmW1yo/edit?usp=sharing"",""อุตรดิตถ์!M545"")"),0)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IFERROR(__xludf.DUMMYFUNCTION("IMPORTRANGE(""https://docs.google.com/spreadsheets/d/11923uPwbBZFjjGgGUA6NLw09EwE0CqkOc4q9oUmW1yo/edit?usp=sharing"",""อุตรดิตถ์!I546"")"),0)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IFERROR(__xludf.DUMMYFUNCTION("IMPORTRANGE(""https://docs.google.com/spreadsheets/d/11923uPwbBZFjjGgGUA6NLw09EwE0CqkOc4q9oUmW1yo/edit?usp=sharing"",""อุตรดิตถ์!L546"")"),0)</f>
        <v>0</v>
      </c>
      <c r="M651" s="521"/>
      <c r="N651" s="538">
        <f ca="1">IFERROR(__xludf.DUMMYFUNCTION("IMPORTRANGE(""https://docs.google.com/spreadsheets/d/11923uPwbBZFjjGgGUA6NLw09EwE0CqkOc4q9oUmW1yo/edit?usp=sharing"",""อุตรดิตถ์!M546"")"),0)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IFERROR(__xludf.DUMMYFUNCTION("IMPORTRANGE(""https://docs.google.com/spreadsheets/d/11923uPwbBZFjjGgGUA6NLw09EwE0CqkOc4q9oUmW1yo/edit?usp=sharing"",""อุตรดิตถ์!J547"")"),0)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IFERROR(__xludf.DUMMYFUNCTION("IMPORTRANGE(""https://docs.google.com/spreadsheets/d/11923uPwbBZFjjGgGUA6NLw09EwE0CqkOc4q9oUmW1yo/edit?usp=sharing"",""อุตรดิตถ์!J548"")"),0)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IFERROR(__xludf.DUMMYFUNCTION("IMPORTRANGE(""https://docs.google.com/spreadsheets/d/11923uPwbBZFjjGgGUA6NLw09EwE0CqkOc4q9oUmW1yo/edit?usp=sharing"",""อุตรดิตถ์!J550"")"),0)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IFERROR(__xludf.DUMMYFUNCTION("IMPORTRANGE(""https://docs.google.com/spreadsheets/d/11923uPwbBZFjjGgGUA6NLw09EwE0CqkOc4q9oUmW1yo/edit?usp=sharing"",""อุตรดิตถ์!J551"")"),0)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IFERROR(__xludf.DUMMYFUNCTION("IMPORTRANGE(""https://docs.google.com/spreadsheets/d/11923uPwbBZFjjGgGUA6NLw09EwE0CqkOc4q9oUmW1yo/edit?usp=sharing"",""อุตรดิตถ์!J552"")"),0)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IFERROR(__xludf.DUMMYFUNCTION("IMPORTRANGE(""https://docs.google.com/spreadsheets/d/11923uPwbBZFjjGgGUA6NLw09EwE0CqkOc4q9oUmW1yo/edit?usp=sharing"",""อุตรดิตถ์!J553"")"),0)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IFERROR(__xludf.DUMMYFUNCTION("IMPORTRANGE(""https://docs.google.com/spreadsheets/d/11923uPwbBZFjjGgGUA6NLw09EwE0CqkOc4q9oUmW1yo/edit?usp=sharing"",""อุตรดิตถ์!J554"")"),0)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IFERROR(__xludf.DUMMYFUNCTION("IMPORTRANGE(""https://docs.google.com/spreadsheets/d/11923uPwbBZFjjGgGUA6NLw09EwE0CqkOc4q9oUmW1yo/edit?usp=sharing"",""อุตรดิตถ์!J555"")"),0)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IFERROR(__xludf.DUMMYFUNCTION("IMPORTRANGE(""https://docs.google.com/spreadsheets/d/11923uPwbBZFjjGgGUA6NLw09EwE0CqkOc4q9oUmW1yo/edit?usp=sharing"",""อุตรดิตถ์!J556"")"),0)</f>
        <v>0</v>
      </c>
      <c r="K661" s="537"/>
      <c r="L661" s="522">
        <f ca="1">IFERROR(__xludf.DUMMYFUNCTION("IMPORTRANGE(""https://docs.google.com/spreadsheets/d/11923uPwbBZFjjGgGUA6NLw09EwE0CqkOc4q9oUmW1yo/edit?usp=sharing"",""อุตรดิตถ์!L556"")"),2280)</f>
        <v>2280</v>
      </c>
      <c r="M661" s="521"/>
      <c r="N661" s="538">
        <f ca="1">IFERROR(__xludf.DUMMYFUNCTION("IMPORTRANGE(""https://docs.google.com/spreadsheets/d/11923uPwbBZFjjGgGUA6NLw09EwE0CqkOc4q9oUmW1yo/edit?usp=sharing"",""อุตรดิตถ์!M556"")"),0)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IFERROR(__xludf.DUMMYFUNCTION("IMPORTRANGE(""https://docs.google.com/spreadsheets/d/11923uPwbBZFjjGgGUA6NLw09EwE0CqkOc4q9oUmW1yo/edit?usp=sharing"",""อุตรดิตถ์!J557"")"),0)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IFERROR(__xludf.DUMMYFUNCTION("IMPORTRANGE(""https://docs.google.com/spreadsheets/d/11923uPwbBZFjjGgGUA6NLw09EwE0CqkOc4q9oUmW1yo/edit?usp=sharing"",""อุตรดิตถ์!I558"")"),57)</f>
        <v>57</v>
      </c>
      <c r="J663" s="536">
        <f ca="1">IFERROR(__xludf.DUMMYFUNCTION("IMPORTRANGE(""https://docs.google.com/spreadsheets/d/11923uPwbBZFjjGgGUA6NLw09EwE0CqkOc4q9oUmW1yo/edit?usp=sharing"",""อุตรดิตถ์!J558"")"),0)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IFERROR(__xludf.DUMMYFUNCTION("IMPORTRANGE(""https://docs.google.com/spreadsheets/d/11923uPwbBZFjjGgGUA6NLw09EwE0CqkOc4q9oUmW1yo/edit?usp=sharing"",""อุตรดิตถ์!I560"")"),1)</f>
        <v>1</v>
      </c>
      <c r="J665" s="536">
        <f ca="1">IFERROR(__xludf.DUMMYFUNCTION("IMPORTRANGE(""https://docs.google.com/spreadsheets/d/11923uPwbBZFjjGgGUA6NLw09EwE0CqkOc4q9oUmW1yo/edit?usp=sharing"",""อุตรดิตถ์!J560"")"),0)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IFERROR(__xludf.DUMMYFUNCTION("IMPORTRANGE(""https://docs.google.com/spreadsheets/d/11923uPwbBZFjjGgGUA6NLw09EwE0CqkOc4q9oUmW1yo/edit?usp=sharing"",""อุตรดิตถ์!L560"")"),120)</f>
        <v>120</v>
      </c>
      <c r="M665" s="521"/>
      <c r="N665" s="538">
        <f ca="1">IFERROR(__xludf.DUMMYFUNCTION("IMPORTRANGE(""https://docs.google.com/spreadsheets/d/11923uPwbBZFjjGgGUA6NLw09EwE0CqkOc4q9oUmW1yo/edit?usp=sharing"",""อุตรดิตถ์!M560"")"),0)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IFERROR(__xludf.DUMMYFUNCTION("IMPORTRANGE(""https://docs.google.com/spreadsheets/d/11923uPwbBZFjjGgGUA6NLw09EwE0CqkOc4q9oUmW1yo/edit?usp=sharing"",""อุตรดิตถ์!J561"")"),0)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IFERROR(__xludf.DUMMYFUNCTION("IMPORTRANGE(""https://docs.google.com/spreadsheets/d/11923uPwbBZFjjGgGUA6NLw09EwE0CqkOc4q9oUmW1yo/edit?usp=sharing"",""อุตรดิตถ์!J562"")"),0)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IFERROR(__xludf.DUMMYFUNCTION("IMPORTRANGE(""https://docs.google.com/spreadsheets/d/11923uPwbBZFjjGgGUA6NLw09EwE0CqkOc4q9oUmW1yo/edit?usp=sharing"",""อุตรดิตถ์!I563"")"),0)</f>
        <v>0</v>
      </c>
      <c r="J668" s="536">
        <f ca="1">IFERROR(__xludf.DUMMYFUNCTION("IMPORTRANGE(""https://docs.google.com/spreadsheets/d/11923uPwbBZFjjGgGUA6NLw09EwE0CqkOc4q9oUmW1yo/edit?usp=sharing"",""อุตรดิตถ์!J563"")"),0)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IFERROR(__xludf.DUMMYFUNCTION("IMPORTRANGE(""https://docs.google.com/spreadsheets/d/11923uPwbBZFjjGgGUA6NLw09EwE0CqkOc4q9oUmW1yo/edit?usp=sharing"",""อุตรดิตถ์!L563"")"),0)</f>
        <v>0</v>
      </c>
      <c r="M668" s="521"/>
      <c r="N668" s="538">
        <f ca="1">IFERROR(__xludf.DUMMYFUNCTION("IMPORTRANGE(""https://docs.google.com/spreadsheets/d/11923uPwbBZFjjGgGUA6NLw09EwE0CqkOc4q9oUmW1yo/edit?usp=sharing"",""อุตรดิตถ์!M563"")"),0)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IFERROR(__xludf.DUMMYFUNCTION("IMPORTRANGE(""https://docs.google.com/spreadsheets/d/11923uPwbBZFjjGgGUA6NLw09EwE0CqkOc4q9oUmW1yo/edit?usp=sharing"",""อุตรดิตถ์!J564"")"),0)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IFERROR(__xludf.DUMMYFUNCTION("IMPORTRANGE(""https://docs.google.com/spreadsheets/d/11923uPwbBZFjjGgGUA6NLw09EwE0CqkOc4q9oUmW1yo/edit?usp=sharing"",""อุตรดิตถ์!J565"")"),0)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IFERROR(__xludf.DUMMYFUNCTION("IMPORTRANGE(""https://docs.google.com/spreadsheets/d/11923uPwbBZFjjGgGUA6NLw09EwE0CqkOc4q9oUmW1yo/edit?usp=sharing"",""อุตรดิตถ์!I566"")"),0)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IFERROR(__xludf.DUMMYFUNCTION("IMPORTRANGE(""https://docs.google.com/spreadsheets/d/11923uPwbBZFjjGgGUA6NLw09EwE0CqkOc4q9oUmW1yo/edit?usp=sharing"",""อุตรดิตถ์!L566"")"),0)</f>
        <v>0</v>
      </c>
      <c r="M671" s="521"/>
      <c r="N671" s="538">
        <f ca="1">IFERROR(__xludf.DUMMYFUNCTION("IMPORTRANGE(""https://docs.google.com/spreadsheets/d/11923uPwbBZFjjGgGUA6NLw09EwE0CqkOc4q9oUmW1yo/edit?usp=sharing"",""อุตรดิตถ์!M566"")"),0)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IFERROR(__xludf.DUMMYFUNCTION("IMPORTRANGE(""https://docs.google.com/spreadsheets/d/11923uPwbBZFjjGgGUA6NLw09EwE0CqkOc4q9oUmW1yo/edit?usp=sharing"",""อุตรดิตถ์!J567"")"),0)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IFERROR(__xludf.DUMMYFUNCTION("IMPORTRANGE(""https://docs.google.com/spreadsheets/d/11923uPwbBZFjjGgGUA6NLw09EwE0CqkOc4q9oUmW1yo/edit?usp=sharing"",""อุตรดิตถ์!J568"")"),0)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IFERROR(__xludf.DUMMYFUNCTION("IMPORTRANGE(""https://docs.google.com/spreadsheets/d/11923uPwbBZFjjGgGUA6NLw09EwE0CqkOc4q9oUmW1yo/edit?usp=sharing"",""อุตรดิตถ์!J569"")"),0)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IFERROR(__xludf.DUMMYFUNCTION("IMPORTRANGE(""https://docs.google.com/spreadsheets/d/11923uPwbBZFjjGgGUA6NLw09EwE0CqkOc4q9oUmW1yo/edit?usp=sharing"",""อุตรดิตถ์!J570"")"),0)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IFERROR(__xludf.DUMMYFUNCTION("IMPORTRANGE(""https://docs.google.com/spreadsheets/d/11923uPwbBZFjjGgGUA6NLw09EwE0CqkOc4q9oUmW1yo/edit?usp=sharing"",""อุตรดิตถ์!J571"")"),0)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IFERROR(__xludf.DUMMYFUNCTION("IMPORTRANGE(""https://docs.google.com/spreadsheets/d/11923uPwbBZFjjGgGUA6NLw09EwE0CqkOc4q9oUmW1yo/edit?usp=sharing"",""อุตรดิตถ์!J572"")"),0)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3:P3"/>
    <mergeCell ref="A2:P2"/>
    <mergeCell ref="A1:P1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292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6720150</v>
      </c>
      <c r="M8" s="23">
        <f t="shared" ca="1" si="0"/>
        <v>4869607</v>
      </c>
      <c r="N8" s="23">
        <f t="shared" ca="1" si="0"/>
        <v>4862650.4000000004</v>
      </c>
      <c r="O8" s="22">
        <f t="shared" ref="O8:O16" ca="1" si="1">IF(L8&gt;0,N8*100/L8,0)</f>
        <v>72.35925388570196</v>
      </c>
      <c r="P8" s="22">
        <f t="shared" ref="P8:P16" ca="1" si="2">IF(M8&gt;0,N8*100/M8,0)</f>
        <v>99.857142475768597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6720150</v>
      </c>
      <c r="M10" s="30">
        <f t="shared" ca="1" si="4"/>
        <v>4869607</v>
      </c>
      <c r="N10" s="30">
        <f t="shared" ca="1" si="4"/>
        <v>4862650.4000000004</v>
      </c>
      <c r="O10" s="29">
        <f t="shared" ca="1" si="1"/>
        <v>72.35925388570196</v>
      </c>
      <c r="P10" s="29">
        <f t="shared" ca="1" si="2"/>
        <v>99.857142475768597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6482750</v>
      </c>
      <c r="M12" s="39">
        <f t="shared" ca="1" si="6"/>
        <v>4632207</v>
      </c>
      <c r="N12" s="39">
        <f t="shared" ca="1" si="6"/>
        <v>4625250.4000000004</v>
      </c>
      <c r="O12" s="39">
        <f t="shared" ca="1" si="1"/>
        <v>71.347042535960824</v>
      </c>
      <c r="P12" s="39">
        <f t="shared" ca="1" si="2"/>
        <v>99.849821046425618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2346000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4136750</v>
      </c>
      <c r="M14" s="39">
        <f t="shared" si="8"/>
        <v>0</v>
      </c>
      <c r="N14" s="39">
        <f t="shared" ca="1" si="8"/>
        <v>981366.23</v>
      </c>
      <c r="O14" s="39">
        <f t="shared" ca="1" si="1"/>
        <v>23.723121532604097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237400</v>
      </c>
      <c r="M16" s="39">
        <f t="shared" ca="1" si="10"/>
        <v>237400</v>
      </c>
      <c r="N16" s="39">
        <f t="shared" ca="1" si="10"/>
        <v>237400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4508755</v>
      </c>
      <c r="M18" s="23">
        <f t="shared" ca="1" si="11"/>
        <v>4869607</v>
      </c>
      <c r="N18" s="23">
        <f t="shared" ca="1" si="11"/>
        <v>3881284.17</v>
      </c>
      <c r="O18" s="22">
        <f t="shared" ref="O18:O20" ca="1" si="12">IF(L18&gt;0,N18*100/L18,0)</f>
        <v>86.083279530602127</v>
      </c>
      <c r="P18" s="22">
        <f t="shared" ref="P18:P26" ca="1" si="13">IF(M18&gt;0,N18*100/M18,0)</f>
        <v>79.704258885778671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4508755</v>
      </c>
      <c r="M20" s="30">
        <f t="shared" ca="1" si="15"/>
        <v>4869607</v>
      </c>
      <c r="N20" s="30">
        <f t="shared" ca="1" si="15"/>
        <v>3881284.17</v>
      </c>
      <c r="O20" s="29">
        <f t="shared" ca="1" si="12"/>
        <v>86.083279530602127</v>
      </c>
      <c r="P20" s="29">
        <f t="shared" ca="1" si="13"/>
        <v>79.704258885778671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4271355</v>
      </c>
      <c r="M22" s="42">
        <f t="shared" ca="1" si="18"/>
        <v>4632207</v>
      </c>
      <c r="N22" s="39">
        <f t="shared" ca="1" si="18"/>
        <v>3643884.17</v>
      </c>
      <c r="O22" s="39">
        <f t="shared" ca="1" si="17"/>
        <v>85.309794432914146</v>
      </c>
      <c r="P22" s="39">
        <f t="shared" ca="1" si="13"/>
        <v>78.664104820876958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2346000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1925355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237400</v>
      </c>
      <c r="M26" s="50">
        <f t="shared" ca="1" si="22"/>
        <v>237400</v>
      </c>
      <c r="N26" s="50">
        <f t="shared" ca="1" si="22"/>
        <v>237400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2211395</v>
      </c>
      <c r="M28" s="23">
        <f t="shared" si="23"/>
        <v>0</v>
      </c>
      <c r="N28" s="23">
        <f t="shared" ca="1" si="23"/>
        <v>981366.23</v>
      </c>
      <c r="O28" s="22">
        <f t="shared" ref="O28:O30" ca="1" si="24">IF(L28&gt;0,N28*100/L28,0)</f>
        <v>44.377699596860808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2211395</v>
      </c>
      <c r="M30" s="30">
        <f t="shared" si="27"/>
        <v>0</v>
      </c>
      <c r="N30" s="30">
        <f t="shared" ca="1" si="27"/>
        <v>981366.23</v>
      </c>
      <c r="O30" s="29">
        <f t="shared" ca="1" si="24"/>
        <v>44.377699596860808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2211395</v>
      </c>
      <c r="M32" s="39">
        <f t="shared" si="30"/>
        <v>0</v>
      </c>
      <c r="N32" s="39">
        <f t="shared" ca="1" si="30"/>
        <v>981366.23</v>
      </c>
      <c r="O32" s="39">
        <f t="shared" ca="1" si="29"/>
        <v>44.377699596860808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2211395</v>
      </c>
      <c r="M34" s="39">
        <f t="shared" si="32"/>
        <v>0</v>
      </c>
      <c r="N34" s="39">
        <f t="shared" ca="1" si="32"/>
        <v>981366.23</v>
      </c>
      <c r="O34" s="39">
        <f t="shared" ca="1" si="29"/>
        <v>44.377699596860808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4508755</v>
      </c>
      <c r="M37" s="55">
        <f t="shared" ca="1" si="33"/>
        <v>4869607</v>
      </c>
      <c r="N37" s="55">
        <f t="shared" ca="1" si="33"/>
        <v>3881284.17</v>
      </c>
      <c r="O37" s="56">
        <f t="shared" ca="1" si="29"/>
        <v>86.083279530602127</v>
      </c>
      <c r="P37" s="56">
        <f t="shared" ca="1" si="25"/>
        <v>79.704258885778671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784100</v>
      </c>
      <c r="M41" s="79">
        <f t="shared" ca="1" si="34"/>
        <v>784100</v>
      </c>
      <c r="N41" s="79">
        <f t="shared" ca="1" si="34"/>
        <v>683191.03</v>
      </c>
      <c r="O41" s="78">
        <f t="shared" ref="O41:O43" ca="1" si="35">IF(L41&gt;0,N41*100/L41,0)</f>
        <v>87.130599413340136</v>
      </c>
      <c r="P41" s="78">
        <f t="shared" ref="P41:P43" ca="1" si="36">IF(M41&gt;0,N41*100/M41,0)</f>
        <v>87.130599413340136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784100</v>
      </c>
      <c r="M43" s="79">
        <f t="shared" ca="1" si="38"/>
        <v>784100</v>
      </c>
      <c r="N43" s="79">
        <f t="shared" ca="1" si="38"/>
        <v>683191.03</v>
      </c>
      <c r="O43" s="78">
        <f t="shared" ca="1" si="35"/>
        <v>87.130599413340136</v>
      </c>
      <c r="P43" s="78">
        <f t="shared" ca="1" si="36"/>
        <v>87.130599413340136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784100</v>
      </c>
      <c r="M45" s="50">
        <f ca="1">IFERROR(__xludf.DUMMYFUNCTION("IMPORTRANGE(""https://docs.google.com/spreadsheets/d/1Yj_ptqi66GCucihVvJfMjLAmec39IyEx_6qawtMGysU/edit?usp=sharing"",""สบก!Q36"")"),784100)</f>
        <v>784100</v>
      </c>
      <c r="N45" s="50">
        <f ca="1">IFERROR(__xludf.DUMMYFUNCTION("IMPORTRANGE(""https://docs.google.com/spreadsheets/d/1Yj_ptqi66GCucihVvJfMjLAmec39IyEx_6qawtMGysU/edit?usp=sharing"",""สบก!R36"")"),683191.03)</f>
        <v>683191.03</v>
      </c>
      <c r="O45" s="39">
        <f ca="1">IF(L45&gt;0,N45*100/L45,0)</f>
        <v>87.130599413340136</v>
      </c>
      <c r="P45" s="39">
        <f ca="1">IF(M45&gt;0,N45*100/M45,0)</f>
        <v>87.130599413340136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IFERROR(__xludf.DUMMYFUNCTION("IMPORTRANGE(""https://docs.google.com/spreadsheets/d/1Yj_ptqi66GCucihVvJfMjLAmec39IyEx_6qawtMGysU/edit?usp=sharing"",""สบก!M36"")"),784100)</f>
        <v>784100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IFERROR(__xludf.DUMMYFUNCTION("IMPORTRANGE(""https://docs.google.com/spreadsheets/d/1Yj_ptqi66GCucihVvJfMjLAmec39IyEx_6qawtMGysU/edit?usp=sharing"",""สบก!N36"")"),0)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IFERROR(__xludf.DUMMYFUNCTION("IMPORTRANGE(""https://docs.google.com/spreadsheets/d/1Yj_ptqi66GCucihVvJfMjLAmec39IyEx_6qawtMGysU/edit?usp=sharing"",""สบก!O36"")"),0)</f>
        <v>0</v>
      </c>
      <c r="M49" s="50"/>
      <c r="N49" s="50">
        <f ca="1">IFERROR(__xludf.DUMMYFUNCTION("IMPORTRANGE(""https://docs.google.com/spreadsheets/d/1Yj_ptqi66GCucihVvJfMjLAmec39IyEx_6qawtMGysU/edit?usp=sharing"",""สบก!S36"")"),0)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750000</v>
      </c>
      <c r="M53" s="121">
        <f t="shared" ca="1" si="39"/>
        <v>777702</v>
      </c>
      <c r="N53" s="121">
        <f t="shared" ca="1" si="39"/>
        <v>740550</v>
      </c>
      <c r="O53" s="120">
        <f t="shared" ref="O53:O55" ca="1" si="40">IF(L53&gt;0,N53*100/L53,0)</f>
        <v>98.74</v>
      </c>
      <c r="P53" s="120">
        <f t="shared" ref="P53:P55" ca="1" si="41">IF(M53&gt;0,N53*100/M53,0)</f>
        <v>95.222848854702704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750000</v>
      </c>
      <c r="M55" s="121">
        <f t="shared" ca="1" si="43"/>
        <v>777702</v>
      </c>
      <c r="N55" s="121">
        <f t="shared" ca="1" si="43"/>
        <v>740550</v>
      </c>
      <c r="O55" s="120">
        <f t="shared" ca="1" si="40"/>
        <v>98.74</v>
      </c>
      <c r="P55" s="120">
        <f t="shared" ca="1" si="41"/>
        <v>95.222848854702704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750000</v>
      </c>
      <c r="M57" s="50">
        <f ca="1">IFERROR(__xludf.DUMMYFUNCTION("IMPORTRANGE(""https://docs.google.com/spreadsheets/d/1Yj_ptqi66GCucihVvJfMjLAmec39IyEx_6qawtMGysU/edit?usp=sharing"",""สบก!Z36"")"),777702)</f>
        <v>777702</v>
      </c>
      <c r="N57" s="50">
        <f ca="1">IFERROR(__xludf.DUMMYFUNCTION("IMPORTRANGE(""https://docs.google.com/spreadsheets/d/1Yj_ptqi66GCucihVvJfMjLAmec39IyEx_6qawtMGysU/edit?usp=sharing"",""สบก!AA36"")"),740550)</f>
        <v>740550</v>
      </c>
      <c r="O57" s="39">
        <f ca="1">IF(L57&gt;0,N57*100/L57,0)</f>
        <v>98.74</v>
      </c>
      <c r="P57" s="39">
        <f ca="1">IF(M57&gt;0,N57*100/M57,0)</f>
        <v>95.222848854702704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IFERROR(__xludf.DUMMYFUNCTION("IMPORTRANGE(""https://docs.google.com/spreadsheets/d/1Yj_ptqi66GCucihVvJfMjLAmec39IyEx_6qawtMGysU/edit?usp=sharing"",""สบก!V36"")"),750000)</f>
        <v>750000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IFERROR(__xludf.DUMMYFUNCTION("IMPORTRANGE(""https://docs.google.com/spreadsheets/d/1Yj_ptqi66GCucihVvJfMjLAmec39IyEx_6qawtMGysU/edit?usp=sharing"",""สบก!W36"")"),0)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IFERROR(__xludf.DUMMYFUNCTION("IMPORTRANGE(""https://docs.google.com/spreadsheets/d/1Yj_ptqi66GCucihVvJfMjLAmec39IyEx_6qawtMGysU/edit?usp=sharing"",""สบก!X36"")"),0)</f>
        <v>0</v>
      </c>
      <c r="M61" s="50"/>
      <c r="N61" s="50">
        <f ca="1">IFERROR(__xludf.DUMMYFUNCTION("IMPORTRANGE(""https://docs.google.com/spreadsheets/d/1Yj_ptqi66GCucihVvJfMjLAmec39IyEx_6qawtMGysU/edit?usp=sharing"",""สบก!AB36"")"),0)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IFERROR(__xludf.DUMMYFUNCTION("IMPORTRANGE(""https://docs.google.com/spreadsheets/d/11923uPwbBZFjjGgGUA6NLw09EwE0CqkOc4q9oUmW1yo/edit?usp=sharing"",""อุทัยธานี!I9"")"),2)</f>
        <v>2</v>
      </c>
      <c r="J64" s="142">
        <f ca="1">IFERROR(__xludf.DUMMYFUNCTION("IMPORTRANGE(""https://docs.google.com/spreadsheets/d/11923uPwbBZFjjGgGUA6NLw09EwE0CqkOc4q9oUmW1yo/edit?usp=sharing"",""อุทัยธานี!J9"")"),2)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IFERROR(__xludf.DUMMYFUNCTION("IMPORTRANGE(""https://docs.google.com/spreadsheets/d/11923uPwbBZFjjGgGUA6NLw09EwE0CqkOc4q9oUmW1yo/edit?usp=sharing"",""อุทัยธานี!I10"")"),70)</f>
        <v>70</v>
      </c>
      <c r="J65" s="142">
        <f ca="1">IFERROR(__xludf.DUMMYFUNCTION("IMPORTRANGE(""https://docs.google.com/spreadsheets/d/11923uPwbBZFjjGgGUA6NLw09EwE0CqkOc4q9oUmW1yo/edit?usp=sharing"",""อุทัยธานี!J10"")"),70)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829500</v>
      </c>
      <c r="M66" s="152">
        <f t="shared" ca="1" si="45"/>
        <v>868300</v>
      </c>
      <c r="N66" s="152">
        <f t="shared" ca="1" si="45"/>
        <v>704717.14</v>
      </c>
      <c r="O66" s="151">
        <f t="shared" ref="O66:O68" ca="1" si="46">IF(L66&gt;0,N66*100/L66,0)</f>
        <v>84.956858348402648</v>
      </c>
      <c r="P66" s="151">
        <f t="shared" ref="P66:P68" ca="1" si="47">IF(M66&gt;0,N66*100/M66,0)</f>
        <v>81.160559714384434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829500</v>
      </c>
      <c r="M68" s="88">
        <f t="shared" ca="1" si="49"/>
        <v>868300</v>
      </c>
      <c r="N68" s="88">
        <f t="shared" ca="1" si="49"/>
        <v>704717.14</v>
      </c>
      <c r="O68" s="156">
        <f t="shared" ca="1" si="46"/>
        <v>84.956858348402648</v>
      </c>
      <c r="P68" s="156">
        <f t="shared" ca="1" si="47"/>
        <v>81.160559714384434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829500</v>
      </c>
      <c r="M70" s="167">
        <f ca="1">IFERROR(__xludf.DUMMYFUNCTION("IMPORTRANGE(""https://docs.google.com/spreadsheets/d/1Yj_ptqi66GCucihVvJfMjLAmec39IyEx_6qawtMGysU/edit?usp=sharing"",""สบก!AI36"")"),868300)</f>
        <v>868300</v>
      </c>
      <c r="N70" s="168">
        <f ca="1">IFERROR(__xludf.DUMMYFUNCTION("IMPORTRANGE(""https://docs.google.com/spreadsheets/d/1Yj_ptqi66GCucihVvJfMjLAmec39IyEx_6qawtMGysU/edit?usp=sharing"",""สบก!AJ36"")"),704717.14)</f>
        <v>704717.14</v>
      </c>
      <c r="O70" s="168">
        <f ca="1">IF(L70&gt;0,N70*100/L70,0)</f>
        <v>84.956858348402648</v>
      </c>
      <c r="P70" s="168">
        <f ca="1">IF(M70&gt;0,N70*100/M70,0)</f>
        <v>81.160559714384434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IFERROR(__xludf.DUMMYFUNCTION("IMPORTRANGE(""https://docs.google.com/spreadsheets/d/1Yj_ptqi66GCucihVvJfMjLAmec39IyEx_6qawtMGysU/edit?usp=sharing"",""สบก!AE36"")"),179500)</f>
        <v>179500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IFERROR(__xludf.DUMMYFUNCTION("IMPORTRANGE(""https://docs.google.com/spreadsheets/d/1Yj_ptqi66GCucihVvJfMjLAmec39IyEx_6qawtMGysU/edit?usp=sharing"",""สบก!AF36"")"),650000)</f>
        <v>650000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IFERROR(__xludf.DUMMYFUNCTION("IMPORTRANGE(""https://docs.google.com/spreadsheets/d/1Yj_ptqi66GCucihVvJfMjLAmec39IyEx_6qawtMGysU/edit?usp=sharing"",""สบก!AG36"")"),0)</f>
        <v>0</v>
      </c>
      <c r="M74" s="50"/>
      <c r="N74" s="50">
        <f ca="1">IFERROR(__xludf.DUMMYFUNCTION("IMPORTRANGE(""https://docs.google.com/spreadsheets/d/1Yj_ptqi66GCucihVvJfMjLAmec39IyEx_6qawtMGysU/edit?usp=sharing"",""สบก!AK36"")"),0)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IFERROR(__xludf.DUMMYFUNCTION("IMPORTRANGE(""https://docs.google.com/spreadsheets/d/11923uPwbBZFjjGgGUA6NLw09EwE0CqkOc4q9oUmW1yo/edit?usp=sharing"",""อุทัยธานี!J16"")"),0)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IFERROR(__xludf.DUMMYFUNCTION("IMPORTRANGE(""https://docs.google.com/spreadsheets/d/11923uPwbBZFjjGgGUA6NLw09EwE0CqkOc4q9oUmW1yo/edit?usp=sharing"",""อุทัยธานี!J17"")"),1)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IFERROR(__xludf.DUMMYFUNCTION("IMPORTRANGE(""https://docs.google.com/spreadsheets/d/11923uPwbBZFjjGgGUA6NLw09EwE0CqkOc4q9oUmW1yo/edit?usp=sharing"",""อุทัยธานี!J18"")"),1)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IFERROR(__xludf.DUMMYFUNCTION("IMPORTRANGE(""https://docs.google.com/spreadsheets/d/11923uPwbBZFjjGgGUA6NLw09EwE0CqkOc4q9oUmW1yo/edit?usp=sharing"",""อุทัยธานี!J19"")"),1)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IFERROR(__xludf.DUMMYFUNCTION("IMPORTRANGE(""https://docs.google.com/spreadsheets/d/11923uPwbBZFjjGgGUA6NLw09EwE0CqkOc4q9oUmW1yo/edit?usp=sharing"",""อุทัยธานี!I20"")"),2)</f>
        <v>2</v>
      </c>
      <c r="J80" s="200">
        <f ca="1">IFERROR(__xludf.DUMMYFUNCTION("IMPORTRANGE(""https://docs.google.com/spreadsheets/d/11923uPwbBZFjjGgGUA6NLw09EwE0CqkOc4q9oUmW1yo/edit?usp=sharing"",""อุทัยธานี!J20"")"),2)</f>
        <v>2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IFERROR(__xludf.DUMMYFUNCTION("IMPORTRANGE(""https://docs.google.com/spreadsheets/d/11923uPwbBZFjjGgGUA6NLw09EwE0CqkOc4q9oUmW1yo/edit?usp=sharing"",""อุทัยธานี!I21"")"),70)</f>
        <v>70</v>
      </c>
      <c r="J81" s="200">
        <f ca="1">IFERROR(__xludf.DUMMYFUNCTION("IMPORTRANGE(""https://docs.google.com/spreadsheets/d/11923uPwbBZFjjGgGUA6NLw09EwE0CqkOc4q9oUmW1yo/edit?usp=sharing"",""อุทัยธานี!J21"")"),70)</f>
        <v>70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IFERROR(__xludf.DUMMYFUNCTION("IMPORTRANGE(""https://docs.google.com/spreadsheets/d/11923uPwbBZFjjGgGUA6NLw09EwE0CqkOc4q9oUmW1yo/edit?usp=sharing"",""อุทัยธานี!I22"")"),1)</f>
        <v>1</v>
      </c>
      <c r="J82" s="203">
        <f ca="1">IFERROR(__xludf.DUMMYFUNCTION("IMPORTRANGE(""https://docs.google.com/spreadsheets/d/11923uPwbBZFjjGgGUA6NLw09EwE0CqkOc4q9oUmW1yo/edit?usp=sharing"",""อุทัยธานี!J22"")"),1)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IFERROR(__xludf.DUMMYFUNCTION("IMPORTRANGE(""https://docs.google.com/spreadsheets/d/11923uPwbBZFjjGgGUA6NLw09EwE0CqkOc4q9oUmW1yo/edit?usp=sharing"",""อุทัยธานี!I23"")"),30)</f>
        <v>30</v>
      </c>
      <c r="J83" s="203">
        <f ca="1">IFERROR(__xludf.DUMMYFUNCTION("IMPORTRANGE(""https://docs.google.com/spreadsheets/d/11923uPwbBZFjjGgGUA6NLw09EwE0CqkOc4q9oUmW1yo/edit?usp=sharing"",""อุทัยธานี!J23"")"),30)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IFERROR(__xludf.DUMMYFUNCTION("IMPORTRANGE(""https://docs.google.com/spreadsheets/d/11923uPwbBZFjjGgGUA6NLw09EwE0CqkOc4q9oUmW1yo/edit?usp=sharing"",""อุทัยธานี!I24"")"),0)</f>
        <v>0</v>
      </c>
      <c r="J84" s="188">
        <f ca="1">IFERROR(__xludf.DUMMYFUNCTION("IMPORTRANGE(""https://docs.google.com/spreadsheets/d/11923uPwbBZFjjGgGUA6NLw09EwE0CqkOc4q9oUmW1yo/edit?usp=sharing"",""อุทัยธานี!J24"")"),0)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IFERROR(__xludf.DUMMYFUNCTION("IMPORTRANGE(""https://docs.google.com/spreadsheets/d/11923uPwbBZFjjGgGUA6NLw09EwE0CqkOc4q9oUmW1yo/edit?usp=sharing"",""อุทัยธานี!I25"")"),0)</f>
        <v>0</v>
      </c>
      <c r="J85" s="188">
        <f ca="1">IFERROR(__xludf.DUMMYFUNCTION("IMPORTRANGE(""https://docs.google.com/spreadsheets/d/11923uPwbBZFjjGgGUA6NLw09EwE0CqkOc4q9oUmW1yo/edit?usp=sharing"",""อุทัยธานี!J25"")"),0)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IFERROR(__xludf.DUMMYFUNCTION("IMPORTRANGE(""https://docs.google.com/spreadsheets/d/11923uPwbBZFjjGgGUA6NLw09EwE0CqkOc4q9oUmW1yo/edit?usp=sharing"",""อุทัยธานี!I26"")"),1)</f>
        <v>1</v>
      </c>
      <c r="J86" s="203">
        <f ca="1">IFERROR(__xludf.DUMMYFUNCTION("IMPORTRANGE(""https://docs.google.com/spreadsheets/d/11923uPwbBZFjjGgGUA6NLw09EwE0CqkOc4q9oUmW1yo/edit?usp=sharing"",""อุทัยธานี!J26"")"),1)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IFERROR(__xludf.DUMMYFUNCTION("IMPORTRANGE(""https://docs.google.com/spreadsheets/d/11923uPwbBZFjjGgGUA6NLw09EwE0CqkOc4q9oUmW1yo/edit?usp=sharing"",""อุทัยธานี!I27"")"),40)</f>
        <v>40</v>
      </c>
      <c r="J87" s="203">
        <f ca="1">IFERROR(__xludf.DUMMYFUNCTION("IMPORTRANGE(""https://docs.google.com/spreadsheets/d/11923uPwbBZFjjGgGUA6NLw09EwE0CqkOc4q9oUmW1yo/edit?usp=sharing"",""อุทัยธานี!J27"")"),40)</f>
        <v>40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IFERROR(__xludf.DUMMYFUNCTION("IMPORTRANGE(""https://docs.google.com/spreadsheets/d/11923uPwbBZFjjGgGUA6NLw09EwE0CqkOc4q9oUmW1yo/edit?usp=sharing"",""อุทัยธานี!I28"")"),2)</f>
        <v>2</v>
      </c>
      <c r="J88" s="203">
        <f ca="1">IFERROR(__xludf.DUMMYFUNCTION("IMPORTRANGE(""https://docs.google.com/spreadsheets/d/11923uPwbBZFjjGgGUA6NLw09EwE0CqkOc4q9oUmW1yo/edit?usp=sharing"",""อุทัยธานี!J28"")"),0)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IFERROR(__xludf.DUMMYFUNCTION("IMPORTRANGE(""https://docs.google.com/spreadsheets/d/11923uPwbBZFjjGgGUA6NLw09EwE0CqkOc4q9oUmW1yo/edit?usp=sharing"",""อุทัยธานี!J29"")"),0)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IFERROR(__xludf.DUMMYFUNCTION("IMPORTRANGE(""https://docs.google.com/spreadsheets/d/11923uPwbBZFjjGgGUA6NLw09EwE0CqkOc4q9oUmW1yo/edit?usp=sharing"",""อุทัยธานี!J30"")"),0)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IFERROR(__xludf.DUMMYFUNCTION("IMPORTRANGE(""https://docs.google.com/spreadsheets/d/11923uPwbBZFjjGgGUA6NLw09EwE0CqkOc4q9oUmW1yo/edit?usp=sharing"",""อุทัยธานี!I32"")"),4)</f>
        <v>4</v>
      </c>
      <c r="J92" s="142">
        <f ca="1">IFERROR(__xludf.DUMMYFUNCTION("IMPORTRANGE(""https://docs.google.com/spreadsheets/d/11923uPwbBZFjjGgGUA6NLw09EwE0CqkOc4q9oUmW1yo/edit?usp=sharing"",""อุทัยธานี!J32"")"),4)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IFERROR(__xludf.DUMMYFUNCTION("IMPORTRANGE(""https://docs.google.com/spreadsheets/d/11923uPwbBZFjjGgGUA6NLw09EwE0CqkOc4q9oUmW1yo/edit?usp=sharing"",""อุทัยธานี!I33"")"),1)</f>
        <v>1</v>
      </c>
      <c r="J93" s="142">
        <f ca="1">IFERROR(__xludf.DUMMYFUNCTION("IMPORTRANGE(""https://docs.google.com/spreadsheets/d/11923uPwbBZFjjGgGUA6NLw09EwE0CqkOc4q9oUmW1yo/edit?usp=sharing"",""อุทัยธานี!J33"")"),1)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141230</v>
      </c>
      <c r="O94" s="151">
        <f t="shared" ref="O94:O96" ca="1" si="53">IF(L94&gt;0,N94*100/L94,0)</f>
        <v>65.841491841491845</v>
      </c>
      <c r="P94" s="151">
        <f t="shared" ref="P94:P96" ca="1" si="54">IF(M94&gt;0,N94*100/M94,0)</f>
        <v>65.841491841491845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141230</v>
      </c>
      <c r="O96" s="156">
        <f t="shared" ca="1" si="53"/>
        <v>65.841491841491845</v>
      </c>
      <c r="P96" s="156">
        <f t="shared" ca="1" si="54"/>
        <v>65.841491841491845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IFERROR(__xludf.DUMMYFUNCTION("IMPORTRANGE(""https://docs.google.com/spreadsheets/d/1Yj_ptqi66GCucihVvJfMjLAmec39IyEx_6qawtMGysU/edit?usp=sharing"",""สบก!AR36"")"),122100)</f>
        <v>122100</v>
      </c>
      <c r="N98" s="168">
        <f ca="1">IFERROR(__xludf.DUMMYFUNCTION("IMPORTRANGE(""https://docs.google.com/spreadsheets/d/1Yj_ptqi66GCucihVvJfMjLAmec39IyEx_6qawtMGysU/edit?usp=sharing"",""สบก!AS36"")"),48830)</f>
        <v>48830</v>
      </c>
      <c r="O98" s="168">
        <f ca="1">IF(L98&gt;0,N98*100/L98,0)</f>
        <v>39.991809991809994</v>
      </c>
      <c r="P98" s="168">
        <f ca="1">IF(M98&gt;0,N98*100/M98,0)</f>
        <v>39.991809991809994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IFERROR(__xludf.DUMMYFUNCTION("IMPORTRANGE(""https://docs.google.com/spreadsheets/d/1Yj_ptqi66GCucihVvJfMjLAmec39IyEx_6qawtMGysU/edit?usp=sharing"",""สบก!AN36"")"),0)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IFERROR(__xludf.DUMMYFUNCTION("IMPORTRANGE(""https://docs.google.com/spreadsheets/d/1Yj_ptqi66GCucihVvJfMjLAmec39IyEx_6qawtMGysU/edit?usp=sharing"",""สบก!AO36"")"),122100)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IFERROR(__xludf.DUMMYFUNCTION("IMPORTRANGE(""https://docs.google.com/spreadsheets/d/1Yj_ptqi66GCucihVvJfMjLAmec39IyEx_6qawtMGysU/edit?usp=sharing"",""สบก!AP36"")"),92400)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IFERROR(__xludf.DUMMYFUNCTION("IMPORTRANGE(""https://docs.google.com/spreadsheets/d/1Yj_ptqi66GCucihVvJfMjLAmec39IyEx_6qawtMGysU/edit?usp=sharing"",""สบก!AT36"")"),92400)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IFERROR(__xludf.DUMMYFUNCTION("IMPORTRANGE(""https://docs.google.com/spreadsheets/d/11923uPwbBZFjjGgGUA6NLw09EwE0CqkOc4q9oUmW1yo/edit?usp=sharing"",""อุทัยธานี!J39"")"),0)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IFERROR(__xludf.DUMMYFUNCTION("IMPORTRANGE(""https://docs.google.com/spreadsheets/d/11923uPwbBZFjjGgGUA6NLw09EwE0CqkOc4q9oUmW1yo/edit?usp=sharing"",""อุทัยธานี!J40"")"),1)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IFERROR(__xludf.DUMMYFUNCTION("IMPORTRANGE(""https://docs.google.com/spreadsheets/d/11923uPwbBZFjjGgGUA6NLw09EwE0CqkOc4q9oUmW1yo/edit?usp=sharing"",""อุทัยธานี!J41"")"),1)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IFERROR(__xludf.DUMMYFUNCTION("IMPORTRANGE(""https://docs.google.com/spreadsheets/d/11923uPwbBZFjjGgGUA6NLw09EwE0CqkOc4q9oUmW1yo/edit?usp=sharing"",""อุทัยธานี!J42"")"),1)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IFERROR(__xludf.DUMMYFUNCTION("IMPORTRANGE(""https://docs.google.com/spreadsheets/d/11923uPwbBZFjjGgGUA6NLw09EwE0CqkOc4q9oUmW1yo/edit?usp=sharing"",""อุทัยธานี!I43"")"),1)</f>
        <v>1</v>
      </c>
      <c r="J108" s="203">
        <f ca="1">IFERROR(__xludf.DUMMYFUNCTION("IMPORTRANGE(""https://docs.google.com/spreadsheets/d/11923uPwbBZFjjGgGUA6NLw09EwE0CqkOc4q9oUmW1yo/edit?usp=sharing"",""อุทัยธานี!J43"")"),1)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IFERROR(__xludf.DUMMYFUNCTION("IMPORTRANGE(""https://docs.google.com/spreadsheets/d/11923uPwbBZFjjGgGUA6NLw09EwE0CqkOc4q9oUmW1yo/edit?usp=sharing"",""อุทัยธานี!I44"")"),4)</f>
        <v>4</v>
      </c>
      <c r="J109" s="203">
        <f ca="1">IFERROR(__xludf.DUMMYFUNCTION("IMPORTRANGE(""https://docs.google.com/spreadsheets/d/11923uPwbBZFjjGgGUA6NLw09EwE0CqkOc4q9oUmW1yo/edit?usp=sharing"",""อุทัยธานี!J44"")"),4)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IFERROR(__xludf.DUMMYFUNCTION("IMPORTRANGE(""https://docs.google.com/spreadsheets/d/11923uPwbBZFjjGgGUA6NLw09EwE0CqkOc4q9oUmW1yo/edit?usp=sharing"",""อุทัยธานี!I45"")"),4)</f>
        <v>4</v>
      </c>
      <c r="J110" s="203">
        <f ca="1">IFERROR(__xludf.DUMMYFUNCTION("IMPORTRANGE(""https://docs.google.com/spreadsheets/d/11923uPwbBZFjjGgGUA6NLw09EwE0CqkOc4q9oUmW1yo/edit?usp=sharing"",""อุทัยธานี!J45"")"),4)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IFERROR(__xludf.DUMMYFUNCTION("IMPORTRANGE(""https://docs.google.com/spreadsheets/d/11923uPwbBZFjjGgGUA6NLw09EwE0CqkOc4q9oUmW1yo/edit?usp=sharing"",""อุทัยธานี!I46"")"),4)</f>
        <v>4</v>
      </c>
      <c r="J111" s="203">
        <f ca="1">IFERROR(__xludf.DUMMYFUNCTION("IMPORTRANGE(""https://docs.google.com/spreadsheets/d/11923uPwbBZFjjGgGUA6NLw09EwE0CqkOc4q9oUmW1yo/edit?usp=sharing"",""อุทัยธานี!J46"")"),4)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IFERROR(__xludf.DUMMYFUNCTION("IMPORTRANGE(""https://docs.google.com/spreadsheets/d/11923uPwbBZFjjGgGUA6NLw09EwE0CqkOc4q9oUmW1yo/edit?usp=sharing"",""อุทัยธานี!I47"")"),4)</f>
        <v>4</v>
      </c>
      <c r="J112" s="203">
        <f ca="1">IFERROR(__xludf.DUMMYFUNCTION("IMPORTRANGE(""https://docs.google.com/spreadsheets/d/11923uPwbBZFjjGgGUA6NLw09EwE0CqkOc4q9oUmW1yo/edit?usp=sharing"",""อุทัยธานี!J47"")"),4)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IFERROR(__xludf.DUMMYFUNCTION("IMPORTRANGE(""https://docs.google.com/spreadsheets/d/11923uPwbBZFjjGgGUA6NLw09EwE0CqkOc4q9oUmW1yo/edit?usp=sharing"",""อุทัยธานี!I48"")"),1)</f>
        <v>1</v>
      </c>
      <c r="J113" s="203">
        <f ca="1">IFERROR(__xludf.DUMMYFUNCTION("IMPORTRANGE(""https://docs.google.com/spreadsheets/d/11923uPwbBZFjjGgGUA6NLw09EwE0CqkOc4q9oUmW1yo/edit?usp=sharing"",""อุทัยธานี!J48"")"),1)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IFERROR(__xludf.DUMMYFUNCTION("IMPORTRANGE(""https://docs.google.com/spreadsheets/d/11923uPwbBZFjjGgGUA6NLw09EwE0CqkOc4q9oUmW1yo/edit?usp=sharing"",""อุทัยธานี!J49"")"),0)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IFERROR(__xludf.DUMMYFUNCTION("IMPORTRANGE(""https://docs.google.com/spreadsheets/d/11923uPwbBZFjjGgGUA6NLw09EwE0CqkOc4q9oUmW1yo/edit?usp=sharing"",""อุทัยธานี!J50"")"),0)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IFERROR(__xludf.DUMMYFUNCTION("IMPORTRANGE(""https://docs.google.com/spreadsheets/d/11923uPwbBZFjjGgGUA6NLw09EwE0CqkOc4q9oUmW1yo/edit?usp=sharing"",""อุทัยธานี!I52"")"),0)</f>
        <v>0</v>
      </c>
      <c r="J117" s="142">
        <f ca="1">IFERROR(__xludf.DUMMYFUNCTION("IMPORTRANGE(""https://docs.google.com/spreadsheets/d/11923uPwbBZFjjGgGUA6NLw09EwE0CqkOc4q9oUmW1yo/edit?usp=sharing"",""อุทัยธานี!J52"")"),0)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IFERROR(__xludf.DUMMYFUNCTION("IMPORTRANGE(""https://docs.google.com/spreadsheets/d/1Yj_ptqi66GCucihVvJfMjLAmec39IyEx_6qawtMGysU/edit?usp=sharing"",""สบก!BA36"")"),0)</f>
        <v>0</v>
      </c>
      <c r="N122" s="168">
        <f ca="1">IFERROR(__xludf.DUMMYFUNCTION("IMPORTRANGE(""https://docs.google.com/spreadsheets/d/1Yj_ptqi66GCucihVvJfMjLAmec39IyEx_6qawtMGysU/edit?usp=sharing"",""สบก!BB36"")"),0)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IFERROR(__xludf.DUMMYFUNCTION("IMPORTRANGE(""https://docs.google.com/spreadsheets/d/1Yj_ptqi66GCucihVvJfMjLAmec39IyEx_6qawtMGysU/edit?usp=sharing"",""สบก!AW36"")"),0)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IFERROR(__xludf.DUMMYFUNCTION("IMPORTRANGE(""https://docs.google.com/spreadsheets/d/1Yj_ptqi66GCucihVvJfMjLAmec39IyEx_6qawtMGysU/edit?usp=sharing"",""สบก!AX36"")"),0)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IFERROR(__xludf.DUMMYFUNCTION("IMPORTRANGE(""https://docs.google.com/spreadsheets/d/1Yj_ptqi66GCucihVvJfMjLAmec39IyEx_6qawtMGysU/edit?usp=sharing"",""สบก!AY36"")"),0)</f>
        <v>0</v>
      </c>
      <c r="M126" s="50"/>
      <c r="N126" s="50">
        <f ca="1">IFERROR(__xludf.DUMMYFUNCTION("IMPORTRANGE(""https://docs.google.com/spreadsheets/d/1Yj_ptqi66GCucihVvJfMjLAmec39IyEx_6qawtMGysU/edit?usp=sharing"",""สบก!BC36"")"),0)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293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IFERROR(__xludf.DUMMYFUNCTION("IMPORTRANGE(""https://docs.google.com/spreadsheets/d/11923uPwbBZFjjGgGUA6NLw09EwE0CqkOc4q9oUmW1yo/edit?usp=sharing"",""อุทัยธานี!J58"")"),0)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IFERROR(__xludf.DUMMYFUNCTION("IMPORTRANGE(""https://docs.google.com/spreadsheets/d/11923uPwbBZFjjGgGUA6NLw09EwE0CqkOc4q9oUmW1yo/edit?usp=sharing"",""อุทัยธานี!J59"")"),0)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IFERROR(__xludf.DUMMYFUNCTION("IMPORTRANGE(""https://docs.google.com/spreadsheets/d/11923uPwbBZFjjGgGUA6NLw09EwE0CqkOc4q9oUmW1yo/edit?usp=sharing"",""อุทัยธานี!J60"")"),0)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IFERROR(__xludf.DUMMYFUNCTION("IMPORTRANGE(""https://docs.google.com/spreadsheets/d/11923uPwbBZFjjGgGUA6NLw09EwE0CqkOc4q9oUmW1yo/edit?usp=sharing"",""อุทัยธานี!J61"")"),0)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IFERROR(__xludf.DUMMYFUNCTION("IMPORTRANGE(""https://docs.google.com/spreadsheets/d/11923uPwbBZFjjGgGUA6NLw09EwE0CqkOc4q9oUmW1yo/edit?usp=sharing"",""อุทัยธานี!I62"")"),0)</f>
        <v>0</v>
      </c>
      <c r="J132" s="203">
        <f ca="1">IFERROR(__xludf.DUMMYFUNCTION("IMPORTRANGE(""https://docs.google.com/spreadsheets/d/11923uPwbBZFjjGgGUA6NLw09EwE0CqkOc4q9oUmW1yo/edit?usp=sharing"",""อุทัยธานี!J62"")"),0)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IFERROR(__xludf.DUMMYFUNCTION("IMPORTRANGE(""https://docs.google.com/spreadsheets/d/11923uPwbBZFjjGgGUA6NLw09EwE0CqkOc4q9oUmW1yo/edit?usp=sharing"",""อุทัยธานี!I63"")"),0)</f>
        <v>0</v>
      </c>
      <c r="J133" s="203">
        <f ca="1">IFERROR(__xludf.DUMMYFUNCTION("IMPORTRANGE(""https://docs.google.com/spreadsheets/d/11923uPwbBZFjjGgGUA6NLw09EwE0CqkOc4q9oUmW1yo/edit?usp=sharing"",""อุทัยธานี!J63"")"),0)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IFERROR(__xludf.DUMMYFUNCTION("IMPORTRANGE(""https://docs.google.com/spreadsheets/d/11923uPwbBZFjjGgGUA6NLw09EwE0CqkOc4q9oUmW1yo/edit?usp=sharing"",""อุทัยธานี!J64"")"),0)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IFERROR(__xludf.DUMMYFUNCTION("IMPORTRANGE(""https://docs.google.com/spreadsheets/d/11923uPwbBZFjjGgGUA6NLw09EwE0CqkOc4q9oUmW1yo/edit?usp=sharing"",""อุทัยธานี!J65"")"),0)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IFERROR(__xludf.DUMMYFUNCTION("IMPORTRANGE(""https://docs.google.com/spreadsheets/d/11923uPwbBZFjjGgGUA6NLw09EwE0CqkOc4q9oUmW1yo/edit?usp=sharing"",""อุทัยธานี!I68"")"),0)</f>
        <v>0</v>
      </c>
      <c r="J138" s="267">
        <f ca="1">IFERROR(__xludf.DUMMYFUNCTION("IMPORTRANGE(""https://docs.google.com/spreadsheets/d/11923uPwbBZFjjGgGUA6NLw09EwE0CqkOc4q9oUmW1yo/edit?usp=sharing"",""อุทัยธานี!J68"")"),0)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83500</v>
      </c>
      <c r="M140" s="152">
        <f t="shared" ca="1" si="64"/>
        <v>137600</v>
      </c>
      <c r="N140" s="152">
        <f t="shared" ca="1" si="64"/>
        <v>80760</v>
      </c>
      <c r="O140" s="151">
        <f t="shared" ref="O140:O142" ca="1" si="65">IF(L140&gt;0,N140*100/L140,0)</f>
        <v>96.718562874251504</v>
      </c>
      <c r="P140" s="151">
        <f t="shared" ref="P140:P142" ca="1" si="66">IF(M140&gt;0,N140*100/M140,0)</f>
        <v>58.691860465116278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83500</v>
      </c>
      <c r="M142" s="88">
        <f t="shared" ca="1" si="68"/>
        <v>137600</v>
      </c>
      <c r="N142" s="88">
        <f t="shared" ca="1" si="68"/>
        <v>80760</v>
      </c>
      <c r="O142" s="156">
        <f t="shared" ca="1" si="65"/>
        <v>96.718562874251504</v>
      </c>
      <c r="P142" s="156">
        <f t="shared" ca="1" si="66"/>
        <v>58.691860465116278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83500</v>
      </c>
      <c r="M144" s="167">
        <f ca="1">IFERROR(__xludf.DUMMYFUNCTION("IMPORTRANGE(""https://docs.google.com/spreadsheets/d/1Yj_ptqi66GCucihVvJfMjLAmec39IyEx_6qawtMGysU/edit?usp=sharing"",""สบก!BJ36"")"),137600)</f>
        <v>137600</v>
      </c>
      <c r="N144" s="168">
        <f ca="1">IFERROR(__xludf.DUMMYFUNCTION("IMPORTRANGE(""https://docs.google.com/spreadsheets/d/1Yj_ptqi66GCucihVvJfMjLAmec39IyEx_6qawtMGysU/edit?usp=sharing"",""สบก!BK36"")"),80760)</f>
        <v>80760</v>
      </c>
      <c r="O144" s="168">
        <f ca="1">IF(L144&gt;0,N144*100/L144,0)</f>
        <v>96.718562874251504</v>
      </c>
      <c r="P144" s="168">
        <f ca="1">IF(M144&gt;0,N144*100/M144,0)</f>
        <v>58.691860465116278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IFERROR(__xludf.DUMMYFUNCTION("IMPORTRANGE(""https://docs.google.com/spreadsheets/d/1Yj_ptqi66GCucihVvJfMjLAmec39IyEx_6qawtMGysU/edit?usp=sharing"",""สบก!BF36"")"),0)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IFERROR(__xludf.DUMMYFUNCTION("IMPORTRANGE(""https://docs.google.com/spreadsheets/d/1Yj_ptqi66GCucihVvJfMjLAmec39IyEx_6qawtMGysU/edit?usp=sharing"",""สบก!BG36"")"),83500)</f>
        <v>83500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IFERROR(__xludf.DUMMYFUNCTION("IMPORTRANGE(""https://docs.google.com/spreadsheets/d/1Yj_ptqi66GCucihVvJfMjLAmec39IyEx_6qawtMGysU/edit?usp=sharing"",""สบก!BH36"")"),0)</f>
        <v>0</v>
      </c>
      <c r="M148" s="50"/>
      <c r="N148" s="50">
        <f ca="1">IFERROR(__xludf.DUMMYFUNCTION("IMPORTRANGE(""https://docs.google.com/spreadsheets/d/1Yj_ptqi66GCucihVvJfMjLAmec39IyEx_6qawtMGysU/edit?usp=sharing"",""สบก!BL36"")"),0)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IFERROR(__xludf.DUMMYFUNCTION("IMPORTRANGE(""https://docs.google.com/spreadsheets/d/11923uPwbBZFjjGgGUA6NLw09EwE0CqkOc4q9oUmW1yo/edit?usp=sharing"",""อุทัยธานี!I74"")"),4)</f>
        <v>4</v>
      </c>
      <c r="J149" s="275">
        <f ca="1">IFERROR(__xludf.DUMMYFUNCTION("IMPORTRANGE(""https://docs.google.com/spreadsheets/d/11923uPwbBZFjjGgGUA6NLw09EwE0CqkOc4q9oUmW1yo/edit?usp=sharing"",""อุทัยธานี!J74"")"),2)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IFERROR(__xludf.DUMMYFUNCTION("IMPORTRANGE(""https://docs.google.com/spreadsheets/d/11923uPwbBZFjjGgGUA6NLw09EwE0CqkOc4q9oUmW1yo/edit?usp=sharing"",""อุทัยธานี!J79"")"),0)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IFERROR(__xludf.DUMMYFUNCTION("IMPORTRANGE(""https://docs.google.com/spreadsheets/d/11923uPwbBZFjjGgGUA6NLw09EwE0CqkOc4q9oUmW1yo/edit?usp=sharing"",""อุทัยธานี!J80"")"),1)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IFERROR(__xludf.DUMMYFUNCTION("IMPORTRANGE(""https://docs.google.com/spreadsheets/d/11923uPwbBZFjjGgGUA6NLw09EwE0CqkOc4q9oUmW1yo/edit?usp=sharing"",""อุทัยธานี!J81"")"),0)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IFERROR(__xludf.DUMMYFUNCTION("IMPORTRANGE(""https://docs.google.com/spreadsheets/d/11923uPwbBZFjjGgGUA6NLw09EwE0CqkOc4q9oUmW1yo/edit?usp=sharing"",""อุทัยธานี!J82"")"),0)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IFERROR(__xludf.DUMMYFUNCTION("IMPORTRANGE(""https://docs.google.com/spreadsheets/d/11923uPwbBZFjjGgGUA6NLw09EwE0CqkOc4q9oUmW1yo/edit?usp=sharing"",""อุทัยธานี!I83"")"),4)</f>
        <v>4</v>
      </c>
      <c r="J158" s="188">
        <f ca="1">IFERROR(__xludf.DUMMYFUNCTION("IMPORTRANGE(""https://docs.google.com/spreadsheets/d/11923uPwbBZFjjGgGUA6NLw09EwE0CqkOc4q9oUmW1yo/edit?usp=sharing"",""อุทัยธานี!J83"")"),2)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IFERROR(__xludf.DUMMYFUNCTION("IMPORTRANGE(""https://docs.google.com/spreadsheets/d/11923uPwbBZFjjGgGUA6NLw09EwE0CqkOc4q9oUmW1yo/edit?usp=sharing"",""อุทัยธานี!J84"")"),10)</f>
        <v>10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IFERROR(__xludf.DUMMYFUNCTION("IMPORTRANGE(""https://docs.google.com/spreadsheets/d/11923uPwbBZFjjGgGUA6NLw09EwE0CqkOc4q9oUmW1yo/edit?usp=sharing"",""อุทัยธานี!J85"")"),10)</f>
        <v>10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IFERROR(__xludf.DUMMYFUNCTION("IMPORTRANGE(""https://docs.google.com/spreadsheets/d/11923uPwbBZFjjGgGUA6NLw09EwE0CqkOc4q9oUmW1yo/edit?usp=sharing"",""อุทัยธานี!J86"")"),0)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IFERROR(__xludf.DUMMYFUNCTION("IMPORTRANGE(""https://docs.google.com/spreadsheets/d/11923uPwbBZFjjGgGUA6NLw09EwE0CqkOc4q9oUmW1yo/edit?usp=sharing"",""อุทัยธานี!J87"")"),0)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IFERROR(__xludf.DUMMYFUNCTION("IMPORTRANGE(""https://docs.google.com/spreadsheets/d/11923uPwbBZFjjGgGUA6NLw09EwE0CqkOc4q9oUmW1yo/edit?usp=sharing"",""อุทัยธานี!J88"")"),0)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IFERROR(__xludf.DUMMYFUNCTION("IMPORTRANGE(""https://docs.google.com/spreadsheets/d/11923uPwbBZFjjGgGUA6NLw09EwE0CqkOc4q9oUmW1yo/edit?usp=sharing"",""อุทัยธานี!I89"")"),3)</f>
        <v>3</v>
      </c>
      <c r="J164" s="284">
        <f ca="1">IFERROR(__xludf.DUMMYFUNCTION("IMPORTRANGE(""https://docs.google.com/spreadsheets/d/11923uPwbBZFjjGgGUA6NLw09EwE0CqkOc4q9oUmW1yo/edit?usp=sharing"",""อุทัยธานี!J89"")"),3)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IFERROR(__xludf.DUMMYFUNCTION("IMPORTRANGE(""https://docs.google.com/spreadsheets/d/11923uPwbBZFjjGgGUA6NLw09EwE0CqkOc4q9oUmW1yo/edit?usp=sharing"",""อุทัยธานี!J94"")"),0)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IFERROR(__xludf.DUMMYFUNCTION("IMPORTRANGE(""https://docs.google.com/spreadsheets/d/11923uPwbBZFjjGgGUA6NLw09EwE0CqkOc4q9oUmW1yo/edit?usp=sharing"",""อุทัยธานี!J95"")"),1)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IFERROR(__xludf.DUMMYFUNCTION("IMPORTRANGE(""https://docs.google.com/spreadsheets/d/11923uPwbBZFjjGgGUA6NLw09EwE0CqkOc4q9oUmW1yo/edit?usp=sharing"",""อุทัยธานี!J96"")"),0)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IFERROR(__xludf.DUMMYFUNCTION("IMPORTRANGE(""https://docs.google.com/spreadsheets/d/11923uPwbBZFjjGgGUA6NLw09EwE0CqkOc4q9oUmW1yo/edit?usp=sharing"",""อุทัยธานี!J97"")"),0)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IFERROR(__xludf.DUMMYFUNCTION("IMPORTRANGE(""https://docs.google.com/spreadsheets/d/11923uPwbBZFjjGgGUA6NLw09EwE0CqkOc4q9oUmW1yo/edit?usp=sharing"",""อุทัยธานี!I98"")"),3)</f>
        <v>3</v>
      </c>
      <c r="J173" s="188">
        <f ca="1">IFERROR(__xludf.DUMMYFUNCTION("IMPORTRANGE(""https://docs.google.com/spreadsheets/d/11923uPwbBZFjjGgGUA6NLw09EwE0CqkOc4q9oUmW1yo/edit?usp=sharing"",""อุทัยธานี!J98"")"),3)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IFERROR(__xludf.DUMMYFUNCTION("IMPORTRANGE(""https://docs.google.com/spreadsheets/d/11923uPwbBZFjjGgGUA6NLw09EwE0CqkOc4q9oUmW1yo/edit?usp=sharing"",""อุทัยธานี!J99"")"),0)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IFERROR(__xludf.DUMMYFUNCTION("IMPORTRANGE(""https://docs.google.com/spreadsheets/d/11923uPwbBZFjjGgGUA6NLw09EwE0CqkOc4q9oUmW1yo/edit?usp=sharing"",""อุทัยธานี!J100"")"),0)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IFERROR(__xludf.DUMMYFUNCTION("IMPORTRANGE(""https://docs.google.com/spreadsheets/d/11923uPwbBZFjjGgGUA6NLw09EwE0CqkOc4q9oUmW1yo/edit?usp=sharing"",""อุทัยธานี!I101"")"),0)</f>
        <v>0</v>
      </c>
      <c r="J176" s="284">
        <f ca="1">IFERROR(__xludf.DUMMYFUNCTION("IMPORTRANGE(""https://docs.google.com/spreadsheets/d/11923uPwbBZFjjGgGUA6NLw09EwE0CqkOc4q9oUmW1yo/edit?usp=sharing"",""อุทัยธานี!J101"")"),0)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IFERROR(__xludf.DUMMYFUNCTION("IMPORTRANGE(""https://docs.google.com/spreadsheets/d/11923uPwbBZFjjGgGUA6NLw09EwE0CqkOc4q9oUmW1yo/edit?usp=sharing"",""อุทัยธานี!J106"")"),0)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IFERROR(__xludf.DUMMYFUNCTION("IMPORTRANGE(""https://docs.google.com/spreadsheets/d/11923uPwbBZFjjGgGUA6NLw09EwE0CqkOc4q9oUmW1yo/edit?usp=sharing"",""อุทัยธานี!J107"")"),0)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IFERROR(__xludf.DUMMYFUNCTION("IMPORTRANGE(""https://docs.google.com/spreadsheets/d/11923uPwbBZFjjGgGUA6NLw09EwE0CqkOc4q9oUmW1yo/edit?usp=sharing"",""อุทัยธานี!J108"")"),0)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IFERROR(__xludf.DUMMYFUNCTION("IMPORTRANGE(""https://docs.google.com/spreadsheets/d/11923uPwbBZFjjGgGUA6NLw09EwE0CqkOc4q9oUmW1yo/edit?usp=sharing"",""อุทัยธานี!J109"")"),0)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IFERROR(__xludf.DUMMYFUNCTION("IMPORTRANGE(""https://docs.google.com/spreadsheets/d/11923uPwbBZFjjGgGUA6NLw09EwE0CqkOc4q9oUmW1yo/edit?usp=sharing"",""อุทัยธานี!I110"")"),0)</f>
        <v>0</v>
      </c>
      <c r="J185" s="203">
        <f ca="1">IFERROR(__xludf.DUMMYFUNCTION("IMPORTRANGE(""https://docs.google.com/spreadsheets/d/11923uPwbBZFjjGgGUA6NLw09EwE0CqkOc4q9oUmW1yo/edit?usp=sharing"",""อุทัยธานี!J110"")"),0)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IFERROR(__xludf.DUMMYFUNCTION("IMPORTRANGE(""https://docs.google.com/spreadsheets/d/11923uPwbBZFjjGgGUA6NLw09EwE0CqkOc4q9oUmW1yo/edit?usp=sharing"",""อุทัยธานี!I111"")"),0)</f>
        <v>0</v>
      </c>
      <c r="J186" s="203">
        <f ca="1">IFERROR(__xludf.DUMMYFUNCTION("IMPORTRANGE(""https://docs.google.com/spreadsheets/d/11923uPwbBZFjjGgGUA6NLw09EwE0CqkOc4q9oUmW1yo/edit?usp=sharing"",""อุทัยธานี!J111"")"),0)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IFERROR(__xludf.DUMMYFUNCTION("IMPORTRANGE(""https://docs.google.com/spreadsheets/d/11923uPwbBZFjjGgGUA6NLw09EwE0CqkOc4q9oUmW1yo/edit?usp=sharing"",""อุทัยธานี!J112"")"),0)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IFERROR(__xludf.DUMMYFUNCTION("IMPORTRANGE(""https://docs.google.com/spreadsheets/d/11923uPwbBZFjjGgGUA6NLw09EwE0CqkOc4q9oUmW1yo/edit?usp=sharing"",""อุทัยธานี!J113"")"),0)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IFERROR(__xludf.DUMMYFUNCTION("IMPORTRANGE(""https://docs.google.com/spreadsheets/d/11923uPwbBZFjjGgGUA6NLw09EwE0CqkOc4q9oUmW1yo/edit?usp=sharing"",""อุทัยธานี!I114"")"),100000)</f>
        <v>100000</v>
      </c>
      <c r="J189" s="284">
        <f ca="1">IFERROR(__xludf.DUMMYFUNCTION("IMPORTRANGE(""https://docs.google.com/spreadsheets/d/11923uPwbBZFjjGgGUA6NLw09EwE0CqkOc4q9oUmW1yo/edit?usp=sharing"",""อุทัยธานี!J114"")"),0)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IFERROR(__xludf.DUMMYFUNCTION("IMPORTRANGE(""https://docs.google.com/spreadsheets/d/11923uPwbBZFjjGgGUA6NLw09EwE0CqkOc4q9oUmW1yo/edit?usp=sharing"",""อุทัยธานี!J119"")"),0)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IFERROR(__xludf.DUMMYFUNCTION("IMPORTRANGE(""https://docs.google.com/spreadsheets/d/11923uPwbBZFjjGgGUA6NLw09EwE0CqkOc4q9oUmW1yo/edit?usp=sharing"",""อุทัยธานี!J120"")"),1)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IFERROR(__xludf.DUMMYFUNCTION("IMPORTRANGE(""https://docs.google.com/spreadsheets/d/11923uPwbBZFjjGgGUA6NLw09EwE0CqkOc4q9oUmW1yo/edit?usp=sharing"",""อุทัยธานี!J121"")"),0)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IFERROR(__xludf.DUMMYFUNCTION("IMPORTRANGE(""https://docs.google.com/spreadsheets/d/11923uPwbBZFjjGgGUA6NLw09EwE0CqkOc4q9oUmW1yo/edit?usp=sharing"",""อุทัยธานี!J122"")"),0)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IFERROR(__xludf.DUMMYFUNCTION("IMPORTRANGE(""https://docs.google.com/spreadsheets/d/11923uPwbBZFjjGgGUA6NLw09EwE0CqkOc4q9oUmW1yo/edit?usp=sharing"",""อุทัยธานี!I124"")"),100000)</f>
        <v>100000</v>
      </c>
      <c r="J199" s="188">
        <f ca="1">IFERROR(__xludf.DUMMYFUNCTION("IMPORTRANGE(""https://docs.google.com/spreadsheets/d/11923uPwbBZFjjGgGUA6NLw09EwE0CqkOc4q9oUmW1yo/edit?usp=sharing"",""อุทัยธานี!J124"")"),0)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IFERROR(__xludf.DUMMYFUNCTION("IMPORTRANGE(""https://docs.google.com/spreadsheets/d/11923uPwbBZFjjGgGUA6NLw09EwE0CqkOc4q9oUmW1yo/edit?usp=sharing"",""อุทัยธานี!I125"")"),100000)</f>
        <v>100000</v>
      </c>
      <c r="J200" s="188">
        <f ca="1">IFERROR(__xludf.DUMMYFUNCTION("IMPORTRANGE(""https://docs.google.com/spreadsheets/d/11923uPwbBZFjjGgGUA6NLw09EwE0CqkOc4q9oUmW1yo/edit?usp=sharing"",""อุทัยธานี!J125"")"),0)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IFERROR(__xludf.DUMMYFUNCTION("IMPORTRANGE(""https://docs.google.com/spreadsheets/d/11923uPwbBZFjjGgGUA6NLw09EwE0CqkOc4q9oUmW1yo/edit?usp=sharing"",""อุทัยธานี!I126"")"),0)</f>
        <v>0</v>
      </c>
      <c r="J201" s="188">
        <f ca="1">IFERROR(__xludf.DUMMYFUNCTION("IMPORTRANGE(""https://docs.google.com/spreadsheets/d/11923uPwbBZFjjGgGUA6NLw09EwE0CqkOc4q9oUmW1yo/edit?usp=sharing"",""อุทัยธานี!J126"")"),0)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IFERROR(__xludf.DUMMYFUNCTION("IMPORTRANGE(""https://docs.google.com/spreadsheets/d/11923uPwbBZFjjGgGUA6NLw09EwE0CqkOc4q9oUmW1yo/edit?usp=sharing"",""อุทัยธานี!J127"")"),0)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IFERROR(__xludf.DUMMYFUNCTION("IMPORTRANGE(""https://docs.google.com/spreadsheets/d/11923uPwbBZFjjGgGUA6NLw09EwE0CqkOc4q9oUmW1yo/edit?usp=sharing"",""อุทัยธานี!J128"")"),0)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IFERROR(__xludf.DUMMYFUNCTION("IMPORTRANGE(""https://docs.google.com/spreadsheets/d/11923uPwbBZFjjGgGUA6NLw09EwE0CqkOc4q9oUmW1yo/edit?usp=sharing"",""อุทัยธานี!I129"")"),0)</f>
        <v>0</v>
      </c>
      <c r="J204" s="284">
        <f ca="1">IFERROR(__xludf.DUMMYFUNCTION("IMPORTRANGE(""https://docs.google.com/spreadsheets/d/11923uPwbBZFjjGgGUA6NLw09EwE0CqkOc4q9oUmW1yo/edit?usp=sharing"",""อุทัยธานี!J129"")"),0)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IFERROR(__xludf.DUMMYFUNCTION("IMPORTRANGE(""https://docs.google.com/spreadsheets/d/11923uPwbBZFjjGgGUA6NLw09EwE0CqkOc4q9oUmW1yo/edit?usp=sharing"",""อุทัยธานี!J134"")"),0)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IFERROR(__xludf.DUMMYFUNCTION("IMPORTRANGE(""https://docs.google.com/spreadsheets/d/11923uPwbBZFjjGgGUA6NLw09EwE0CqkOc4q9oUmW1yo/edit?usp=sharing"",""อุทัยธานี!J135"")"),0)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IFERROR(__xludf.DUMMYFUNCTION("IMPORTRANGE(""https://docs.google.com/spreadsheets/d/11923uPwbBZFjjGgGUA6NLw09EwE0CqkOc4q9oUmW1yo/edit?usp=sharing"",""อุทัยธานี!J136"")"),0)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IFERROR(__xludf.DUMMYFUNCTION("IMPORTRANGE(""https://docs.google.com/spreadsheets/d/11923uPwbBZFjjGgGUA6NLw09EwE0CqkOc4q9oUmW1yo/edit?usp=sharing"",""อุทัยธานี!J137"")"),0)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IFERROR(__xludf.DUMMYFUNCTION("IMPORTRANGE(""https://docs.google.com/spreadsheets/d/11923uPwbBZFjjGgGUA6NLw09EwE0CqkOc4q9oUmW1yo/edit?usp=sharing"",""อุทัยธานี!I138"")"),0)</f>
        <v>0</v>
      </c>
      <c r="J213" s="203">
        <f ca="1">IFERROR(__xludf.DUMMYFUNCTION("IMPORTRANGE(""https://docs.google.com/spreadsheets/d/11923uPwbBZFjjGgGUA6NLw09EwE0CqkOc4q9oUmW1yo/edit?usp=sharing"",""อุทัยธานี!J138"")"),0)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IFERROR(__xludf.DUMMYFUNCTION("IMPORTRANGE(""https://docs.google.com/spreadsheets/d/11923uPwbBZFjjGgGUA6NLw09EwE0CqkOc4q9oUmW1yo/edit?usp=sharing"",""อุทัยธานี!I140"")"),0)</f>
        <v>0</v>
      </c>
      <c r="J215" s="203">
        <f ca="1">IFERROR(__xludf.DUMMYFUNCTION("IMPORTRANGE(""https://docs.google.com/spreadsheets/d/11923uPwbBZFjjGgGUA6NLw09EwE0CqkOc4q9oUmW1yo/edit?usp=sharing"",""อุทัยธานี!J140"")"),0)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IFERROR(__xludf.DUMMYFUNCTION("IMPORTRANGE(""https://docs.google.com/spreadsheets/d/11923uPwbBZFjjGgGUA6NLw09EwE0CqkOc4q9oUmW1yo/edit?usp=sharing"",""อุทัยธานี!I141"")"),0)</f>
        <v>0</v>
      </c>
      <c r="J216" s="203">
        <f ca="1">IFERROR(__xludf.DUMMYFUNCTION("IMPORTRANGE(""https://docs.google.com/spreadsheets/d/11923uPwbBZFjjGgGUA6NLw09EwE0CqkOc4q9oUmW1yo/edit?usp=sharing"",""อุทัยธานี!J141"")"),0)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IFERROR(__xludf.DUMMYFUNCTION("IMPORTRANGE(""https://docs.google.com/spreadsheets/d/11923uPwbBZFjjGgGUA6NLw09EwE0CqkOc4q9oUmW1yo/edit?usp=sharing"",""อุทัยธานี!J142"")"),0)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IFERROR(__xludf.DUMMYFUNCTION("IMPORTRANGE(""https://docs.google.com/spreadsheets/d/11923uPwbBZFjjGgGUA6NLw09EwE0CqkOc4q9oUmW1yo/edit?usp=sharing"",""อุทัยธานี!J143"")"),0)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IFERROR(__xludf.DUMMYFUNCTION("IMPORTRANGE(""https://docs.google.com/spreadsheets/d/11923uPwbBZFjjGgGUA6NLw09EwE0CqkOc4q9oUmW1yo/edit?usp=sharing"",""อุทัยธานี!I144"")"),15)</f>
        <v>15</v>
      </c>
      <c r="J219" s="267">
        <f ca="1">IFERROR(__xludf.DUMMYFUNCTION("IMPORTRANGE(""https://docs.google.com/spreadsheets/d/11923uPwbBZFjjGgGUA6NLw09EwE0CqkOc4q9oUmW1yo/edit?usp=sharing"",""อุทัยธานี!J144"")"),15)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20505</v>
      </c>
      <c r="O220" s="151">
        <f t="shared" ref="O220:O222" ca="1" si="73">IF(L220&gt;0,N220*100/L220,0)</f>
        <v>97.065088757396452</v>
      </c>
      <c r="P220" s="151">
        <f t="shared" ref="P220:P222" ca="1" si="74">IF(M220&gt;0,N220*100/M220,0)</f>
        <v>97.065088757396452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20505</v>
      </c>
      <c r="O222" s="156">
        <f t="shared" ca="1" si="73"/>
        <v>97.065088757396452</v>
      </c>
      <c r="P222" s="156">
        <f t="shared" ca="1" si="74"/>
        <v>97.065088757396452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IFERROR(__xludf.DUMMYFUNCTION("IMPORTRANGE(""https://docs.google.com/spreadsheets/d/1Yj_ptqi66GCucihVvJfMjLAmec39IyEx_6qawtMGysU/edit?usp=sharing"",""สบก!BS36"")"),21125)</f>
        <v>21125</v>
      </c>
      <c r="N224" s="168">
        <f ca="1">IFERROR(__xludf.DUMMYFUNCTION("IMPORTRANGE(""https://docs.google.com/spreadsheets/d/1Yj_ptqi66GCucihVvJfMjLAmec39IyEx_6qawtMGysU/edit?usp=sharing"",""สบก!BT36"")"),20505)</f>
        <v>20505</v>
      </c>
      <c r="O224" s="168">
        <f ca="1">IF(L224&gt;0,N224*100/L224,0)</f>
        <v>97.065088757396452</v>
      </c>
      <c r="P224" s="168">
        <f ca="1">IF(M224&gt;0,N224*100/M224,0)</f>
        <v>97.065088757396452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IFERROR(__xludf.DUMMYFUNCTION("IMPORTRANGE(""https://docs.google.com/spreadsheets/d/1Yj_ptqi66GCucihVvJfMjLAmec39IyEx_6qawtMGysU/edit?usp=sharing"",""สบก!BO36"")"),0)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IFERROR(__xludf.DUMMYFUNCTION("IMPORTRANGE(""https://docs.google.com/spreadsheets/d/1Yj_ptqi66GCucihVvJfMjLAmec39IyEx_6qawtMGysU/edit?usp=sharing"",""สบก!BP36"")"),21125)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IFERROR(__xludf.DUMMYFUNCTION("IMPORTRANGE(""https://docs.google.com/spreadsheets/d/1Yj_ptqi66GCucihVvJfMjLAmec39IyEx_6qawtMGysU/edit?usp=sharing"",""สบก!BQ36"")"),0)</f>
        <v>0</v>
      </c>
      <c r="M228" s="50"/>
      <c r="N228" s="50">
        <f ca="1">IFERROR(__xludf.DUMMYFUNCTION("IMPORTRANGE(""https://docs.google.com/spreadsheets/d/1Yj_ptqi66GCucihVvJfMjLAmec39IyEx_6qawtMGysU/edit?usp=sharing"",""สบก!BU36"")"),0)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IFERROR(__xludf.DUMMYFUNCTION("IMPORTRANGE(""https://docs.google.com/spreadsheets/d/11923uPwbBZFjjGgGUA6NLw09EwE0CqkOc4q9oUmW1yo/edit?usp=sharing"",""อุทัยธานี!I149"")"),15)</f>
        <v>15</v>
      </c>
      <c r="J229" s="267">
        <f ca="1">IFERROR(__xludf.DUMMYFUNCTION("IMPORTRANGE(""https://docs.google.com/spreadsheets/d/11923uPwbBZFjjGgGUA6NLw09EwE0CqkOc4q9oUmW1yo/edit?usp=sharing"",""อุทัยธานี!J149"")"),15)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IFERROR(__xludf.DUMMYFUNCTION("IMPORTRANGE(""https://docs.google.com/spreadsheets/d/11923uPwbBZFjjGgGUA6NLw09EwE0CqkOc4q9oUmW1yo/edit?usp=sharing"",""อุทัยธานี!J151"")"),0)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IFERROR(__xludf.DUMMYFUNCTION("IMPORTRANGE(""https://docs.google.com/spreadsheets/d/11923uPwbBZFjjGgGUA6NLw09EwE0CqkOc4q9oUmW1yo/edit?usp=sharing"",""อุทัยธานี!J152"")"),1)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IFERROR(__xludf.DUMMYFUNCTION("IMPORTRANGE(""https://docs.google.com/spreadsheets/d/11923uPwbBZFjjGgGUA6NLw09EwE0CqkOc4q9oUmW1yo/edit?usp=sharing"",""อุทัยธานี!J153"")"),1)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IFERROR(__xludf.DUMMYFUNCTION("IMPORTRANGE(""https://docs.google.com/spreadsheets/d/11923uPwbBZFjjGgGUA6NLw09EwE0CqkOc4q9oUmW1yo/edit?usp=sharing"",""อุทัยธานี!J154"")"),1)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IFERROR(__xludf.DUMMYFUNCTION("IMPORTRANGE(""https://docs.google.com/spreadsheets/d/11923uPwbBZFjjGgGUA6NLw09EwE0CqkOc4q9oUmW1yo/edit?usp=sharing"",""อุทัยธานี!I155"")"),15)</f>
        <v>15</v>
      </c>
      <c r="J235" s="188">
        <f ca="1">IFERROR(__xludf.DUMMYFUNCTION("IMPORTRANGE(""https://docs.google.com/spreadsheets/d/11923uPwbBZFjjGgGUA6NLw09EwE0CqkOc4q9oUmW1yo/edit?usp=sharing"",""อุทัยธานี!J155"")"),15)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IFERROR(__xludf.DUMMYFUNCTION("IMPORTRANGE(""https://docs.google.com/spreadsheets/d/11923uPwbBZFjjGgGUA6NLw09EwE0CqkOc4q9oUmW1yo/edit?usp=sharing"",""อุทัยธานี!J156"")"),0)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IFERROR(__xludf.DUMMYFUNCTION("IMPORTRANGE(""https://docs.google.com/spreadsheets/d/11923uPwbBZFjjGgGUA6NLw09EwE0CqkOc4q9oUmW1yo/edit?usp=sharing"",""อุทัยธานี!J157"")"),0)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IFERROR(__xludf.DUMMYFUNCTION("IMPORTRANGE(""https://docs.google.com/spreadsheets/d/11923uPwbBZFjjGgGUA6NLw09EwE0CqkOc4q9oUmW1yo/edit?usp=sharing"",""อุทัยธานี!I158"")"),0)</f>
        <v>0</v>
      </c>
      <c r="J238" s="267">
        <f ca="1">IFERROR(__xludf.DUMMYFUNCTION("IMPORTRANGE(""https://docs.google.com/spreadsheets/d/11923uPwbBZFjjGgGUA6NLw09EwE0CqkOc4q9oUmW1yo/edit?usp=sharing"",""อุทัยธานี!J158"")"),0)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IFERROR(__xludf.DUMMYFUNCTION("IMPORTRANGE(""https://docs.google.com/spreadsheets/d/11923uPwbBZFjjGgGUA6NLw09EwE0CqkOc4q9oUmW1yo/edit?usp=sharing"",""อุทัยธานี!J159"")"),"")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IFERROR(__xludf.DUMMYFUNCTION("IMPORTRANGE(""https://docs.google.com/spreadsheets/d/11923uPwbBZFjjGgGUA6NLw09EwE0CqkOc4q9oUmW1yo/edit?usp=sharing"",""อุทัยธานี!J161"")"),0)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IFERROR(__xludf.DUMMYFUNCTION("IMPORTRANGE(""https://docs.google.com/spreadsheets/d/11923uPwbBZFjjGgGUA6NLw09EwE0CqkOc4q9oUmW1yo/edit?usp=sharing"",""อุทัยธานี!J162"")"),0)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IFERROR(__xludf.DUMMYFUNCTION("IMPORTRANGE(""https://docs.google.com/spreadsheets/d/11923uPwbBZFjjGgGUA6NLw09EwE0CqkOc4q9oUmW1yo/edit?usp=sharing"",""อุทัยธานี!J163"")"),0)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IFERROR(__xludf.DUMMYFUNCTION("IMPORTRANGE(""https://docs.google.com/spreadsheets/d/11923uPwbBZFjjGgGUA6NLw09EwE0CqkOc4q9oUmW1yo/edit?usp=sharing"",""อุทัยธานี!I164"")"),0)</f>
        <v>0</v>
      </c>
      <c r="J244" s="187">
        <f ca="1">IFERROR(__xludf.DUMMYFUNCTION("IMPORTRANGE(""https://docs.google.com/spreadsheets/d/11923uPwbBZFjjGgGUA6NLw09EwE0CqkOc4q9oUmW1yo/edit?usp=sharing"",""อุทัยธานี!J164"")"),0)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IFERROR(__xludf.DUMMYFUNCTION("IMPORTRANGE(""https://docs.google.com/spreadsheets/d/11923uPwbBZFjjGgGUA6NLw09EwE0CqkOc4q9oUmW1yo/edit?usp=sharing"",""อุทัยธานี!J165"")"),0)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IFERROR(__xludf.DUMMYFUNCTION("IMPORTRANGE(""https://docs.google.com/spreadsheets/d/11923uPwbBZFjjGgGUA6NLw09EwE0CqkOc4q9oUmW1yo/edit?usp=sharing"",""อุทัยธานี!J166"")"),0)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IFERROR(__xludf.DUMMYFUNCTION("IMPORTRANGE(""https://docs.google.com/spreadsheets/d/11923uPwbBZFjjGgGUA6NLw09EwE0CqkOc4q9oUmW1yo/edit?usp=sharing"",""อุทัยธานี!I169"")"),20)</f>
        <v>20</v>
      </c>
      <c r="J249" s="316">
        <f ca="1">IFERROR(__xludf.DUMMYFUNCTION("IMPORTRANGE(""https://docs.google.com/spreadsheets/d/11923uPwbBZFjjGgGUA6NLw09EwE0CqkOc4q9oUmW1yo/edit?usp=sharing"",""อุทัยธานี!J169"")"),20)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203400</v>
      </c>
      <c r="N250" s="152">
        <f t="shared" ca="1" si="77"/>
        <v>137542</v>
      </c>
      <c r="O250" s="151">
        <f t="shared" ref="O250:O252" ca="1" si="78">IF(L250&gt;0,N250*100/L250,0)</f>
        <v>67.621435594886918</v>
      </c>
      <c r="P250" s="151">
        <f t="shared" ref="P250:P252" ca="1" si="79">IF(M250&gt;0,N250*100/M250,0)</f>
        <v>67.621435594886918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203400</v>
      </c>
      <c r="N252" s="88">
        <f t="shared" ca="1" si="81"/>
        <v>137542</v>
      </c>
      <c r="O252" s="156">
        <f t="shared" ca="1" si="78"/>
        <v>67.621435594886918</v>
      </c>
      <c r="P252" s="156">
        <f t="shared" ca="1" si="79"/>
        <v>67.621435594886918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IFERROR(__xludf.DUMMYFUNCTION("IMPORTRANGE(""https://docs.google.com/spreadsheets/d/1Yj_ptqi66GCucihVvJfMjLAmec39IyEx_6qawtMGysU/edit?usp=sharing"",""สบก!CB36"")"),203400)</f>
        <v>203400</v>
      </c>
      <c r="N254" s="168">
        <f ca="1">IFERROR(__xludf.DUMMYFUNCTION("IMPORTRANGE(""https://docs.google.com/spreadsheets/d/1Yj_ptqi66GCucihVvJfMjLAmec39IyEx_6qawtMGysU/edit?usp=sharing"",""สบก!CC36"")"),137542)</f>
        <v>137542</v>
      </c>
      <c r="O254" s="168">
        <f ca="1">IF(L254&gt;0,N254*100/L254,0)</f>
        <v>67.621435594886918</v>
      </c>
      <c r="P254" s="168">
        <f ca="1">IF(M254&gt;0,N254*100/M254,0)</f>
        <v>67.621435594886918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IFERROR(__xludf.DUMMYFUNCTION("IMPORTRANGE(""https://docs.google.com/spreadsheets/d/1Yj_ptqi66GCucihVvJfMjLAmec39IyEx_6qawtMGysU/edit?usp=sharing"",""สบก!BX36"")"),132000)</f>
        <v>132000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IFERROR(__xludf.DUMMYFUNCTION("IMPORTRANGE(""https://docs.google.com/spreadsheets/d/1Yj_ptqi66GCucihVvJfMjLAmec39IyEx_6qawtMGysU/edit?usp=sharing"",""สบก!BY36"")"),71400)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IFERROR(__xludf.DUMMYFUNCTION("IMPORTRANGE(""https://docs.google.com/spreadsheets/d/1Yj_ptqi66GCucihVvJfMjLAmec39IyEx_6qawtMGysU/edit?usp=sharing"",""สบก!BZ36"")"),0)</f>
        <v>0</v>
      </c>
      <c r="M258" s="50"/>
      <c r="N258" s="50">
        <f ca="1">IFERROR(__xludf.DUMMYFUNCTION("IMPORTRANGE(""https://docs.google.com/spreadsheets/d/1Yj_ptqi66GCucihVvJfMjLAmec39IyEx_6qawtMGysU/edit?usp=sharing"",""สบก!CD36"")"),0)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IFERROR(__xludf.DUMMYFUNCTION("IMPORTRANGE(""https://docs.google.com/spreadsheets/d/11923uPwbBZFjjGgGUA6NLw09EwE0CqkOc4q9oUmW1yo/edit?usp=sharing"",""อุทัยธานี!J175"")"),0)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IFERROR(__xludf.DUMMYFUNCTION("IMPORTRANGE(""https://docs.google.com/spreadsheets/d/11923uPwbBZFjjGgGUA6NLw09EwE0CqkOc4q9oUmW1yo/edit?usp=sharing"",""อุทัยธานี!J176"")"),1)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IFERROR(__xludf.DUMMYFUNCTION("IMPORTRANGE(""https://docs.google.com/spreadsheets/d/11923uPwbBZFjjGgGUA6NLw09EwE0CqkOc4q9oUmW1yo/edit?usp=sharing"",""อุทัยธานี!J177"")"),1)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IFERROR(__xludf.DUMMYFUNCTION("IMPORTRANGE(""https://docs.google.com/spreadsheets/d/11923uPwbBZFjjGgGUA6NLw09EwE0CqkOc4q9oUmW1yo/edit?usp=sharing"",""อุทัยธานี!J178"")"),0)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IFERROR(__xludf.DUMMYFUNCTION("IMPORTRANGE(""https://docs.google.com/spreadsheets/d/11923uPwbBZFjjGgGUA6NLw09EwE0CqkOc4q9oUmW1yo/edit?usp=sharing"",""อุทัยธานี!I179"")"),1)</f>
        <v>1</v>
      </c>
      <c r="J264" s="188">
        <f ca="1">IFERROR(__xludf.DUMMYFUNCTION("IMPORTRANGE(""https://docs.google.com/spreadsheets/d/11923uPwbBZFjjGgGUA6NLw09EwE0CqkOc4q9oUmW1yo/edit?usp=sharing"",""อุทัยธานี!J179"")"),0)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IFERROR(__xludf.DUMMYFUNCTION("IMPORTRANGE(""https://docs.google.com/spreadsheets/d/11923uPwbBZFjjGgGUA6NLw09EwE0CqkOc4q9oUmW1yo/edit?usp=sharing"",""อุทัยธานี!I180"")"),20)</f>
        <v>20</v>
      </c>
      <c r="J265" s="188">
        <f ca="1">IFERROR(__xludf.DUMMYFUNCTION("IMPORTRANGE(""https://docs.google.com/spreadsheets/d/11923uPwbBZFjjGgGUA6NLw09EwE0CqkOc4q9oUmW1yo/edit?usp=sharing"",""อุทัยธานี!J180"")"),20)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IFERROR(__xludf.DUMMYFUNCTION("IMPORTRANGE(""https://docs.google.com/spreadsheets/d/11923uPwbBZFjjGgGUA6NLw09EwE0CqkOc4q9oUmW1yo/edit?usp=sharing"",""อุทัยธานี!I181"")"),20)</f>
        <v>20</v>
      </c>
      <c r="J266" s="188">
        <f ca="1">IFERROR(__xludf.DUMMYFUNCTION("IMPORTRANGE(""https://docs.google.com/spreadsheets/d/11923uPwbBZFjjGgGUA6NLw09EwE0CqkOc4q9oUmW1yo/edit?usp=sharing"",""อุทัยธานี!J181"")"),0)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IFERROR(__xludf.DUMMYFUNCTION("IMPORTRANGE(""https://docs.google.com/spreadsheets/d/11923uPwbBZFjjGgGUA6NLw09EwE0CqkOc4q9oUmW1yo/edit?usp=sharing"",""อุทัยธานี!I182"")"),1)</f>
        <v>1</v>
      </c>
      <c r="J267" s="188">
        <f ca="1">IFERROR(__xludf.DUMMYFUNCTION("IMPORTRANGE(""https://docs.google.com/spreadsheets/d/11923uPwbBZFjjGgGUA6NLw09EwE0CqkOc4q9oUmW1yo/edit?usp=sharing"",""อุทัยธานี!J182"")"),0)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IFERROR(__xludf.DUMMYFUNCTION("IMPORTRANGE(""https://docs.google.com/spreadsheets/d/11923uPwbBZFjjGgGUA6NLw09EwE0CqkOc4q9oUmW1yo/edit?usp=sharing"",""อุทัยธานี!J183"")"),0)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IFERROR(__xludf.DUMMYFUNCTION("IMPORTRANGE(""https://docs.google.com/spreadsheets/d/11923uPwbBZFjjGgGUA6NLw09EwE0CqkOc4q9oUmW1yo/edit?usp=sharing"",""อุทัยธานี!J184"")"),0)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IFERROR(__xludf.DUMMYFUNCTION("IMPORTRANGE(""https://docs.google.com/spreadsheets/d/11923uPwbBZFjjGgGUA6NLw09EwE0CqkOc4q9oUmW1yo/edit?usp=sharing"",""อุทัยธานี!I185"")"),20)</f>
        <v>20</v>
      </c>
      <c r="J270" s="316">
        <f ca="1">IFERROR(__xludf.DUMMYFUNCTION("IMPORTRANGE(""https://docs.google.com/spreadsheets/d/11923uPwbBZFjjGgGUA6NLw09EwE0CqkOc4q9oUmW1yo/edit?usp=sharing"",""อุทัยธานี!J185"")"),20)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152692</v>
      </c>
      <c r="O271" s="151">
        <f t="shared" ref="O271:O273" ca="1" si="84">IF(L271&gt;0,N271*100/L271,0)</f>
        <v>83.165577342047925</v>
      </c>
      <c r="P271" s="151">
        <f t="shared" ref="P271:P273" ca="1" si="85">IF(M271&gt;0,N271*100/M271,0)</f>
        <v>83.165577342047925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183600</v>
      </c>
      <c r="N273" s="88">
        <f t="shared" ca="1" si="87"/>
        <v>152692</v>
      </c>
      <c r="O273" s="156">
        <f t="shared" ca="1" si="84"/>
        <v>83.165577342047925</v>
      </c>
      <c r="P273" s="156">
        <f t="shared" ca="1" si="85"/>
        <v>83.165577342047925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IFERROR(__xludf.DUMMYFUNCTION("IMPORTRANGE(""https://docs.google.com/spreadsheets/d/1Yj_ptqi66GCucihVvJfMjLAmec39IyEx_6qawtMGysU/edit?usp=sharing"",""สบก!CK36"")"),183600)</f>
        <v>183600</v>
      </c>
      <c r="N275" s="168">
        <f ca="1">IFERROR(__xludf.DUMMYFUNCTION("IMPORTRANGE(""https://docs.google.com/spreadsheets/d/1Yj_ptqi66GCucihVvJfMjLAmec39IyEx_6qawtMGysU/edit?usp=sharing"",""สบก!CL36"")"),152692)</f>
        <v>152692</v>
      </c>
      <c r="O275" s="168">
        <f ca="1">IF(L275&gt;0,N275*100/L275,0)</f>
        <v>83.165577342047925</v>
      </c>
      <c r="P275" s="168">
        <f ca="1">IF(M275&gt;0,N275*100/M275,0)</f>
        <v>83.165577342047925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IFERROR(__xludf.DUMMYFUNCTION("IMPORTRANGE(""https://docs.google.com/spreadsheets/d/1Yj_ptqi66GCucihVvJfMjLAmec39IyEx_6qawtMGysU/edit?usp=sharing"",""สบก!CG36"")"),0)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IFERROR(__xludf.DUMMYFUNCTION("IMPORTRANGE(""https://docs.google.com/spreadsheets/d/1Yj_ptqi66GCucihVvJfMjLAmec39IyEx_6qawtMGysU/edit?usp=sharing"",""สบก!CH36"")"),183600)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IFERROR(__xludf.DUMMYFUNCTION("IMPORTRANGE(""https://docs.google.com/spreadsheets/d/1Yj_ptqi66GCucihVvJfMjLAmec39IyEx_6qawtMGysU/edit?usp=sharing"",""สบก!CI36"")"),0)</f>
        <v>0</v>
      </c>
      <c r="M279" s="50"/>
      <c r="N279" s="50">
        <f ca="1">IFERROR(__xludf.DUMMYFUNCTION("IMPORTRANGE(""https://docs.google.com/spreadsheets/d/1Yj_ptqi66GCucihVvJfMjLAmec39IyEx_6qawtMGysU/edit?usp=sharing"",""สบก!CM36"")"),0)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IFERROR(__xludf.DUMMYFUNCTION("IMPORTRANGE(""https://docs.google.com/spreadsheets/d/11923uPwbBZFjjGgGUA6NLw09EwE0CqkOc4q9oUmW1yo/edit?usp=sharing"",""อุทัยธานี!J191"")"),0)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IFERROR(__xludf.DUMMYFUNCTION("IMPORTRANGE(""https://docs.google.com/spreadsheets/d/11923uPwbBZFjjGgGUA6NLw09EwE0CqkOc4q9oUmW1yo/edit?usp=sharing"",""อุทัยธานี!J192"")"),1)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IFERROR(__xludf.DUMMYFUNCTION("IMPORTRANGE(""https://docs.google.com/spreadsheets/d/11923uPwbBZFjjGgGUA6NLw09EwE0CqkOc4q9oUmW1yo/edit?usp=sharing"",""อุทัยธานี!J193"")"),1)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IFERROR(__xludf.DUMMYFUNCTION("IMPORTRANGE(""https://docs.google.com/spreadsheets/d/11923uPwbBZFjjGgGUA6NLw09EwE0CqkOc4q9oUmW1yo/edit?usp=sharing"",""อุทัยธานี!J194"")"),1)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IFERROR(__xludf.DUMMYFUNCTION("IMPORTRANGE(""https://docs.google.com/spreadsheets/d/11923uPwbBZFjjGgGUA6NLw09EwE0CqkOc4q9oUmW1yo/edit?usp=sharing"",""อุทัยธานี!I195"")"),20)</f>
        <v>20</v>
      </c>
      <c r="J285" s="188">
        <f ca="1">IFERROR(__xludf.DUMMYFUNCTION("IMPORTRANGE(""https://docs.google.com/spreadsheets/d/11923uPwbBZFjjGgGUA6NLw09EwE0CqkOc4q9oUmW1yo/edit?usp=sharing"",""อุทัยธานี!J195"")"),20)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IFERROR(__xludf.DUMMYFUNCTION("IMPORTRANGE(""https://docs.google.com/spreadsheets/d/11923uPwbBZFjjGgGUA6NLw09EwE0CqkOc4q9oUmW1yo/edit?usp=sharing"",""อุทัยธานี!J196"")"),0)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IFERROR(__xludf.DUMMYFUNCTION("IMPORTRANGE(""https://docs.google.com/spreadsheets/d/11923uPwbBZFjjGgGUA6NLw09EwE0CqkOc4q9oUmW1yo/edit?usp=sharing"",""อุทัยธานี!J197"")"),0)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IFERROR(__xludf.DUMMYFUNCTION("IMPORTRANGE(""https://docs.google.com/spreadsheets/d/11923uPwbBZFjjGgGUA6NLw09EwE0CqkOc4q9oUmW1yo/edit?usp=sharing"",""อุทัยธานี!I199"")"),40)</f>
        <v>40</v>
      </c>
      <c r="J289" s="316">
        <f ca="1">IFERROR(__xludf.DUMMYFUNCTION("IMPORTRANGE(""https://docs.google.com/spreadsheets/d/11923uPwbBZFjjGgGUA6NLw09EwE0CqkOc4q9oUmW1yo/edit?usp=sharing"",""อุทัยธานี!J199"")"),40)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120760</v>
      </c>
      <c r="M290" s="152">
        <f t="shared" ca="1" si="88"/>
        <v>120760</v>
      </c>
      <c r="N290" s="152">
        <f t="shared" ca="1" si="88"/>
        <v>50045</v>
      </c>
      <c r="O290" s="151">
        <f t="shared" ref="O290:O292" ca="1" si="89">IF(L290&gt;0,N290*100/L290,0)</f>
        <v>41.441702550513412</v>
      </c>
      <c r="P290" s="151">
        <f t="shared" ref="P290:P292" ca="1" si="90">IF(M290&gt;0,N290*100/M290,0)</f>
        <v>41.441702550513412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120760</v>
      </c>
      <c r="M292" s="88">
        <f t="shared" ca="1" si="92"/>
        <v>120760</v>
      </c>
      <c r="N292" s="88">
        <f t="shared" ca="1" si="92"/>
        <v>50045</v>
      </c>
      <c r="O292" s="156">
        <f t="shared" ca="1" si="89"/>
        <v>41.441702550513412</v>
      </c>
      <c r="P292" s="156">
        <f t="shared" ca="1" si="90"/>
        <v>41.441702550513412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120760</v>
      </c>
      <c r="M294" s="167">
        <f ca="1">IFERROR(__xludf.DUMMYFUNCTION("IMPORTRANGE(""https://docs.google.com/spreadsheets/d/1Yj_ptqi66GCucihVvJfMjLAmec39IyEx_6qawtMGysU/edit?usp=sharing"",""สบก!CT36"")"),120760)</f>
        <v>120760</v>
      </c>
      <c r="N294" s="168">
        <f ca="1">IFERROR(__xludf.DUMMYFUNCTION("IMPORTRANGE(""https://docs.google.com/spreadsheets/d/1Yj_ptqi66GCucihVvJfMjLAmec39IyEx_6qawtMGysU/edit?usp=sharing"",""สบก!CU36"")"),50045)</f>
        <v>50045</v>
      </c>
      <c r="O294" s="168">
        <f ca="1">IF(L294&gt;0,N294*100/L294,0)</f>
        <v>41.441702550513412</v>
      </c>
      <c r="P294" s="168">
        <f ca="1">IF(M294&gt;0,N294*100/M294,0)</f>
        <v>41.441702550513412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IFERROR(__xludf.DUMMYFUNCTION("IMPORTRANGE(""https://docs.google.com/spreadsheets/d/1Yj_ptqi66GCucihVvJfMjLAmec39IyEx_6qawtMGysU/edit?usp=sharing"",""สบก!CP36"")"),0)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IFERROR(__xludf.DUMMYFUNCTION("IMPORTRANGE(""https://docs.google.com/spreadsheets/d/1Yj_ptqi66GCucihVvJfMjLAmec39IyEx_6qawtMGysU/edit?usp=sharing"",""สบก!CQ36"")"),120760)</f>
        <v>120760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IFERROR(__xludf.DUMMYFUNCTION("IMPORTRANGE(""https://docs.google.com/spreadsheets/d/1Yj_ptqi66GCucihVvJfMjLAmec39IyEx_6qawtMGysU/edit?usp=sharing"",""สบก!CR36"")"),0)</f>
        <v>0</v>
      </c>
      <c r="M298" s="50"/>
      <c r="N298" s="50">
        <f ca="1">IFERROR(__xludf.DUMMYFUNCTION("IMPORTRANGE(""https://docs.google.com/spreadsheets/d/1Yj_ptqi66GCucihVvJfMjLAmec39IyEx_6qawtMGysU/edit?usp=sharing"",""สบก!CV36"")"),0)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IFERROR(__xludf.DUMMYFUNCTION("IMPORTRANGE(""https://docs.google.com/spreadsheets/d/11923uPwbBZFjjGgGUA6NLw09EwE0CqkOc4q9oUmW1yo/edit?usp=sharing"",""อุทัยธานี!J205"")"),0)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IFERROR(__xludf.DUMMYFUNCTION("IMPORTRANGE(""https://docs.google.com/spreadsheets/d/11923uPwbBZFjjGgGUA6NLw09EwE0CqkOc4q9oUmW1yo/edit?usp=sharing"",""อุทัยธานี!J206"")"),1)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IFERROR(__xludf.DUMMYFUNCTION("IMPORTRANGE(""https://docs.google.com/spreadsheets/d/11923uPwbBZFjjGgGUA6NLw09EwE0CqkOc4q9oUmW1yo/edit?usp=sharing"",""อุทัยธานี!J207"")"),1)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IFERROR(__xludf.DUMMYFUNCTION("IMPORTRANGE(""https://docs.google.com/spreadsheets/d/11923uPwbBZFjjGgGUA6NLw09EwE0CqkOc4q9oUmW1yo/edit?usp=sharing"",""อุทัยธานี!J208"")"),1)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IFERROR(__xludf.DUMMYFUNCTION("IMPORTRANGE(""https://docs.google.com/spreadsheets/d/11923uPwbBZFjjGgGUA6NLw09EwE0CqkOc4q9oUmW1yo/edit?usp=sharing"",""อุทัยธานี!I209"")"),40)</f>
        <v>40</v>
      </c>
      <c r="J304" s="203">
        <f ca="1">IFERROR(__xludf.DUMMYFUNCTION("IMPORTRANGE(""https://docs.google.com/spreadsheets/d/11923uPwbBZFjjGgGUA6NLw09EwE0CqkOc4q9oUmW1yo/edit?usp=sharing"",""อุทัยธานี!J209"")"),40)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IFERROR(__xludf.DUMMYFUNCTION("IMPORTRANGE(""https://docs.google.com/spreadsheets/d/11923uPwbBZFjjGgGUA6NLw09EwE0CqkOc4q9oUmW1yo/edit?usp=sharing"",""อุทัยธานี!I211"")"),40)</f>
        <v>40</v>
      </c>
      <c r="J306" s="203">
        <f ca="1">IFERROR(__xludf.DUMMYFUNCTION("IMPORTRANGE(""https://docs.google.com/spreadsheets/d/11923uPwbBZFjjGgGUA6NLw09EwE0CqkOc4q9oUmW1yo/edit?usp=sharing"",""อุทัยธานี!J211"")"),0)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IFERROR(__xludf.DUMMYFUNCTION("IMPORTRANGE(""https://docs.google.com/spreadsheets/d/11923uPwbBZFjjGgGUA6NLw09EwE0CqkOc4q9oUmW1yo/edit?usp=sharing"",""อุทัยธานี!J212"")"),0)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IFERROR(__xludf.DUMMYFUNCTION("IMPORTRANGE(""https://docs.google.com/spreadsheets/d/11923uPwbBZFjjGgGUA6NLw09EwE0CqkOc4q9oUmW1yo/edit?usp=sharing"",""อุทัยธานี!J213"")"),0)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IFERROR(__xludf.DUMMYFUNCTION("IMPORTRANGE(""https://docs.google.com/spreadsheets/d/11923uPwbBZFjjGgGUA6NLw09EwE0CqkOc4q9oUmW1yo/edit?usp=sharing"",""อุทัยธานี!I214"")"),1)</f>
        <v>1</v>
      </c>
      <c r="J309" s="333">
        <f ca="1">IFERROR(__xludf.DUMMYFUNCTION("IMPORTRANGE(""https://docs.google.com/spreadsheets/d/11923uPwbBZFjjGgGUA6NLw09EwE0CqkOc4q9oUmW1yo/edit?usp=sharing"",""อุทัยธานี!J214"")"),1)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262600</v>
      </c>
      <c r="M310" s="152">
        <f t="shared" ca="1" si="93"/>
        <v>450100</v>
      </c>
      <c r="N310" s="152">
        <f t="shared" ca="1" si="93"/>
        <v>337485</v>
      </c>
      <c r="O310" s="151">
        <f t="shared" ref="O310:O312" ca="1" si="94">IF(L310&gt;0,N310*100/L310,0)</f>
        <v>128.51675552170602</v>
      </c>
      <c r="P310" s="151">
        <f t="shared" ref="P310:P312" ca="1" si="95">IF(M310&gt;0,N310*100/M310,0)</f>
        <v>74.980004443457005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262600</v>
      </c>
      <c r="M312" s="88">
        <f t="shared" ca="1" si="97"/>
        <v>450100</v>
      </c>
      <c r="N312" s="88">
        <f t="shared" ca="1" si="97"/>
        <v>337485</v>
      </c>
      <c r="O312" s="156">
        <f t="shared" ca="1" si="94"/>
        <v>128.51675552170602</v>
      </c>
      <c r="P312" s="156">
        <f t="shared" ca="1" si="95"/>
        <v>74.980004443457005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262600</v>
      </c>
      <c r="M314" s="167">
        <f ca="1">IFERROR(__xludf.DUMMYFUNCTION("IMPORTRANGE(""https://docs.google.com/spreadsheets/d/1Yj_ptqi66GCucihVvJfMjLAmec39IyEx_6qawtMGysU/edit?usp=sharing"",""สบก!DC36"")"),450100)</f>
        <v>450100</v>
      </c>
      <c r="N314" s="168">
        <f ca="1">IFERROR(__xludf.DUMMYFUNCTION("IMPORTRANGE(""https://docs.google.com/spreadsheets/d/1Yj_ptqi66GCucihVvJfMjLAmec39IyEx_6qawtMGysU/edit?usp=sharing"",""สบก!DD36"")"),337485)</f>
        <v>337485</v>
      </c>
      <c r="O314" s="168">
        <f ca="1">IF(L314&gt;0,N314*100/L314,0)</f>
        <v>128.51675552170602</v>
      </c>
      <c r="P314" s="168">
        <f ca="1">IF(M314&gt;0,N314*100/M314,0)</f>
        <v>74.980004443457005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IFERROR(__xludf.DUMMYFUNCTION("IMPORTRANGE(""https://docs.google.com/spreadsheets/d/1Yj_ptqi66GCucihVvJfMjLAmec39IyEx_6qawtMGysU/edit?usp=sharing"",""สบก!CY36"")"),0)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IFERROR(__xludf.DUMMYFUNCTION("IMPORTRANGE(""https://docs.google.com/spreadsheets/d/1Yj_ptqi66GCucihVvJfMjLAmec39IyEx_6qawtMGysU/edit?usp=sharing"",""สบก!CZ36"")"),262600)</f>
        <v>262600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IFERROR(__xludf.DUMMYFUNCTION("IMPORTRANGE(""https://docs.google.com/spreadsheets/d/1Yj_ptqi66GCucihVvJfMjLAmec39IyEx_6qawtMGysU/edit?usp=sharing"",""สบก!DA36"")"),0)</f>
        <v>0</v>
      </c>
      <c r="M318" s="50"/>
      <c r="N318" s="50">
        <f ca="1">IFERROR(__xludf.DUMMYFUNCTION("IMPORTRANGE(""https://docs.google.com/spreadsheets/d/1Yj_ptqi66GCucihVvJfMjLAmec39IyEx_6qawtMGysU/edit?usp=sharing"",""สบก!DE36"")"),0)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IFERROR(__xludf.DUMMYFUNCTION("IMPORTRANGE(""https://docs.google.com/spreadsheets/d/11923uPwbBZFjjGgGUA6NLw09EwE0CqkOc4q9oUmW1yo/edit?usp=sharing"",""อุทัยธานี!J220"")"),0)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IFERROR(__xludf.DUMMYFUNCTION("IMPORTRANGE(""https://docs.google.com/spreadsheets/d/11923uPwbBZFjjGgGUA6NLw09EwE0CqkOc4q9oUmW1yo/edit?usp=sharing"",""อุทัยธานี!J221"")"),1)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IFERROR(__xludf.DUMMYFUNCTION("IMPORTRANGE(""https://docs.google.com/spreadsheets/d/11923uPwbBZFjjGgGUA6NLw09EwE0CqkOc4q9oUmW1yo/edit?usp=sharing"",""อุทัยธานี!J222"")"),1)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IFERROR(__xludf.DUMMYFUNCTION("IMPORTRANGE(""https://docs.google.com/spreadsheets/d/11923uPwbBZFjjGgGUA6NLw09EwE0CqkOc4q9oUmW1yo/edit?usp=sharing"",""อุทัยธานี!J223"")"),1)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IFERROR(__xludf.DUMMYFUNCTION("IMPORTRANGE(""https://docs.google.com/spreadsheets/d/11923uPwbBZFjjGgGUA6NLw09EwE0CqkOc4q9oUmW1yo/edit?usp=sharing"",""อุทัยธานี!I224"")"),1)</f>
        <v>1</v>
      </c>
      <c r="J324" s="203">
        <f ca="1">IFERROR(__xludf.DUMMYFUNCTION("IMPORTRANGE(""https://docs.google.com/spreadsheets/d/11923uPwbBZFjjGgGUA6NLw09EwE0CqkOc4q9oUmW1yo/edit?usp=sharing"",""อุทัยธานี!J224"")"),1)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IFERROR(__xludf.DUMMYFUNCTION("IMPORTRANGE(""https://docs.google.com/spreadsheets/d/11923uPwbBZFjjGgGUA6NLw09EwE0CqkOc4q9oUmW1yo/edit?usp=sharing"",""อุทัยธานี!J225"")"),0)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IFERROR(__xludf.DUMMYFUNCTION("IMPORTRANGE(""https://docs.google.com/spreadsheets/d/11923uPwbBZFjjGgGUA6NLw09EwE0CqkOc4q9oUmW1yo/edit?usp=sharing"",""อุทัยธานี!J226"")"),0)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IFERROR(__xludf.DUMMYFUNCTION("IMPORTRANGE(""https://docs.google.com/spreadsheets/d/11923uPwbBZFjjGgGUA6NLw09EwE0CqkOc4q9oUmW1yo/edit?usp=sharing"",""อุทัยธานี!I228"")"),215)</f>
        <v>215</v>
      </c>
      <c r="J328" s="339">
        <f ca="1">IFERROR(__xludf.DUMMYFUNCTION("IMPORTRANGE(""https://docs.google.com/spreadsheets/d/11923uPwbBZFjjGgGUA6NLw09EwE0CqkOc4q9oUmW1yo/edit?usp=sharing"",""อุทัยธานี!J228"")"),147)</f>
        <v>147</v>
      </c>
      <c r="K328" s="317">
        <f ca="1">IF(I328&gt;0,J328*100/I328,0)</f>
        <v>68.372093023255815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1055670</v>
      </c>
      <c r="M329" s="152">
        <f t="shared" ca="1" si="98"/>
        <v>1108420</v>
      </c>
      <c r="N329" s="152">
        <f t="shared" ca="1" si="98"/>
        <v>832567</v>
      </c>
      <c r="O329" s="151">
        <f t="shared" ref="O329:O331" ca="1" si="99">IF(L329&gt;0,N329*100/L329,0)</f>
        <v>78.866217662716565</v>
      </c>
      <c r="P329" s="151">
        <f t="shared" ref="P329:P331" ca="1" si="100">IF(M329&gt;0,N329*100/M329,0)</f>
        <v>75.112953573555146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1055670</v>
      </c>
      <c r="M331" s="88">
        <f t="shared" ca="1" si="102"/>
        <v>1108420</v>
      </c>
      <c r="N331" s="88">
        <f t="shared" ca="1" si="102"/>
        <v>832567</v>
      </c>
      <c r="O331" s="156">
        <f t="shared" ca="1" si="99"/>
        <v>78.866217662716565</v>
      </c>
      <c r="P331" s="156">
        <f t="shared" ca="1" si="100"/>
        <v>75.112953573555146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910670</v>
      </c>
      <c r="M333" s="167">
        <f ca="1">IFERROR(__xludf.DUMMYFUNCTION("IMPORTRANGE(""https://docs.google.com/spreadsheets/d/1Yj_ptqi66GCucihVvJfMjLAmec39IyEx_6qawtMGysU/edit?usp=sharing"",""สบก!DL36"")"),963420)</f>
        <v>963420</v>
      </c>
      <c r="N333" s="168">
        <f ca="1">IFERROR(__xludf.DUMMYFUNCTION("IMPORTRANGE(""https://docs.google.com/spreadsheets/d/1Yj_ptqi66GCucihVvJfMjLAmec39IyEx_6qawtMGysU/edit?usp=sharing"",""สบก!DM36"")"),687567)</f>
        <v>687567</v>
      </c>
      <c r="O333" s="168">
        <f ca="1">IF(L333&gt;0,N333*100/L333,0)</f>
        <v>75.501224373263639</v>
      </c>
      <c r="P333" s="168">
        <f ca="1">IF(M333&gt;0,N333*100/M333,0)</f>
        <v>71.367316435199598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IFERROR(__xludf.DUMMYFUNCTION("IMPORTRANGE(""https://docs.google.com/spreadsheets/d/1Yj_ptqi66GCucihVvJfMjLAmec39IyEx_6qawtMGysU/edit?usp=sharing"",""สบก!DH36"")"),500400)</f>
        <v>500400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IFERROR(__xludf.DUMMYFUNCTION("IMPORTRANGE(""https://docs.google.com/spreadsheets/d/1Yj_ptqi66GCucihVvJfMjLAmec39IyEx_6qawtMGysU/edit?usp=sharing"",""สบก!DI36"")"),410270)</f>
        <v>410270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IFERROR(__xludf.DUMMYFUNCTION("IMPORTRANGE(""https://docs.google.com/spreadsheets/d/1Yj_ptqi66GCucihVvJfMjLAmec39IyEx_6qawtMGysU/edit?usp=sharing"",""สบก!DJ36"")"),145000)</f>
        <v>145000</v>
      </c>
      <c r="M337" s="50">
        <f ca="1">L337</f>
        <v>145000</v>
      </c>
      <c r="N337" s="50">
        <f ca="1">IFERROR(__xludf.DUMMYFUNCTION("IMPORTRANGE(""https://docs.google.com/spreadsheets/d/1Yj_ptqi66GCucihVvJfMjLAmec39IyEx_6qawtMGysU/edit?usp=sharing"",""สบก!DN36"")"),145000)</f>
        <v>145000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IFERROR(__xludf.DUMMYFUNCTION("IMPORTRANGE(""https://docs.google.com/spreadsheets/d/11923uPwbBZFjjGgGUA6NLw09EwE0CqkOc4q9oUmW1yo/edit?usp=sharing"",""อุทัยธานี!I234"")"),0)</f>
        <v>0</v>
      </c>
      <c r="J339" s="187">
        <f ca="1">IFERROR(__xludf.DUMMYFUNCTION("IMPORTRANGE(""https://docs.google.com/spreadsheets/d/11923uPwbBZFjjGgGUA6NLw09EwE0CqkOc4q9oUmW1yo/edit?usp=sharing"",""อุทัยธานี!J234"")"),197)</f>
        <v>197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IFERROR(__xludf.DUMMYFUNCTION("IMPORTRANGE(""https://docs.google.com/spreadsheets/d/11923uPwbBZFjjGgGUA6NLw09EwE0CqkOc4q9oUmW1yo/edit?usp=sharing"",""อุทัยธานี!I235"")"),2000)</f>
        <v>2000</v>
      </c>
      <c r="J340" s="187">
        <f ca="1">IFERROR(__xludf.DUMMYFUNCTION("IMPORTRANGE(""https://docs.google.com/spreadsheets/d/11923uPwbBZFjjGgGUA6NLw09EwE0CqkOc4q9oUmW1yo/edit?usp=sharing"",""อุทัยธานี!J235"")"),2040.44)</f>
        <v>2040.44</v>
      </c>
      <c r="K340" s="342">
        <f t="shared" ca="1" si="103"/>
        <v>102.02200000000001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IFERROR(__xludf.DUMMYFUNCTION("IMPORTRANGE(""https://docs.google.com/spreadsheets/d/11923uPwbBZFjjGgGUA6NLw09EwE0CqkOc4q9oUmW1yo/edit?usp=sharing"",""อุทัยธานี!I236"")"),215)</f>
        <v>215</v>
      </c>
      <c r="J341" s="187">
        <f ca="1">IFERROR(__xludf.DUMMYFUNCTION("IMPORTRANGE(""https://docs.google.com/spreadsheets/d/11923uPwbBZFjjGgGUA6NLw09EwE0CqkOc4q9oUmW1yo/edit?usp=sharing"",""อุทัยธานี!J236"")"),280)</f>
        <v>280</v>
      </c>
      <c r="K341" s="342">
        <f t="shared" ca="1" si="103"/>
        <v>130.23255813953489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IFERROR(__xludf.DUMMYFUNCTION("IMPORTRANGE(""https://docs.google.com/spreadsheets/d/11923uPwbBZFjjGgGUA6NLw09EwE0CqkOc4q9oUmW1yo/edit?usp=sharing"",""อุทัยธานี!I237"")"),0)</f>
        <v>0</v>
      </c>
      <c r="J342" s="187">
        <f ca="1">IFERROR(__xludf.DUMMYFUNCTION("IMPORTRANGE(""https://docs.google.com/spreadsheets/d/11923uPwbBZFjjGgGUA6NLw09EwE0CqkOc4q9oUmW1yo/edit?usp=sharing"",""อุทัยธานี!J237"")"),3900.25)</f>
        <v>3900.25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IFERROR(__xludf.DUMMYFUNCTION("IMPORTRANGE(""https://docs.google.com/spreadsheets/d/11923uPwbBZFjjGgGUA6NLw09EwE0CqkOc4q9oUmW1yo/edit?usp=sharing"",""อุทัยธานี!I238"")"),215)</f>
        <v>215</v>
      </c>
      <c r="J343" s="187">
        <f ca="1">IFERROR(__xludf.DUMMYFUNCTION("IMPORTRANGE(""https://docs.google.com/spreadsheets/d/11923uPwbBZFjjGgGUA6NLw09EwE0CqkOc4q9oUmW1yo/edit?usp=sharing"",""อุทัยธานี!J238"")"),29)</f>
        <v>29</v>
      </c>
      <c r="K343" s="342">
        <f t="shared" ca="1" si="103"/>
        <v>13.488372093023257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IFERROR(__xludf.DUMMYFUNCTION("IMPORTRANGE(""https://docs.google.com/spreadsheets/d/11923uPwbBZFjjGgGUA6NLw09EwE0CqkOc4q9oUmW1yo/edit?usp=sharing"",""อุทัยธานี!I239"")"),0)</f>
        <v>0</v>
      </c>
      <c r="J344" s="187">
        <f ca="1">IFERROR(__xludf.DUMMYFUNCTION("IMPORTRANGE(""https://docs.google.com/spreadsheets/d/11923uPwbBZFjjGgGUA6NLw09EwE0CqkOc4q9oUmW1yo/edit?usp=sharing"",""อุทัยธานี!J239"")"),264.31)</f>
        <v>264.31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IFERROR(__xludf.DUMMYFUNCTION("IMPORTRANGE(""https://docs.google.com/spreadsheets/d/11923uPwbBZFjjGgGUA6NLw09EwE0CqkOc4q9oUmW1yo/edit?usp=sharing"",""อุทัยธานี!I240"")"),215)</f>
        <v>215</v>
      </c>
      <c r="J345" s="187">
        <f ca="1">IFERROR(__xludf.DUMMYFUNCTION("IMPORTRANGE(""https://docs.google.com/spreadsheets/d/11923uPwbBZFjjGgGUA6NLw09EwE0CqkOc4q9oUmW1yo/edit?usp=sharing"",""อุทัยธานี!J240"")"),147)</f>
        <v>147</v>
      </c>
      <c r="K345" s="342">
        <f t="shared" ca="1" si="103"/>
        <v>68.372093023255815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IFERROR(__xludf.DUMMYFUNCTION("IMPORTRANGE(""https://docs.google.com/spreadsheets/d/11923uPwbBZFjjGgGUA6NLw09EwE0CqkOc4q9oUmW1yo/edit?usp=sharing"",""อุทัยธานี!I241"")"),0)</f>
        <v>0</v>
      </c>
      <c r="J346" s="187">
        <f ca="1">IFERROR(__xludf.DUMMYFUNCTION("IMPORTRANGE(""https://docs.google.com/spreadsheets/d/11923uPwbBZFjjGgGUA6NLw09EwE0CqkOc4q9oUmW1yo/edit?usp=sharing"",""อุทัยธานี!J241"")"),2459.9)</f>
        <v>2459.9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IFERROR(__xludf.DUMMYFUNCTION("IMPORTRANGE(""https://docs.google.com/spreadsheets/d/11923uPwbBZFjjGgGUA6NLw09EwE0CqkOc4q9oUmW1yo/edit?usp=sharing"",""อุทัยธานี!L242"")"),2211395)</f>
        <v>2211395</v>
      </c>
      <c r="M347" s="357"/>
      <c r="N347" s="357">
        <f ca="1">IFERROR(__xludf.DUMMYFUNCTION("IMPORTRANGE(""https://docs.google.com/spreadsheets/d/11923uPwbBZFjjGgGUA6NLw09EwE0CqkOc4q9oUmW1yo/edit?usp=sharing"",""อุทัยธานี!M242"")"),981366.23)</f>
        <v>981366.23</v>
      </c>
      <c r="O347" s="357">
        <f ca="1">+IF(L347&gt;0,N347*100/L347,0)</f>
        <v>44.377699596860808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IFERROR(__xludf.DUMMYFUNCTION("IMPORTRANGE(""https://docs.google.com/spreadsheets/d/11923uPwbBZFjjGgGUA6NLw09EwE0CqkOc4q9oUmW1yo/edit?usp=sharing"",""อุทัยธานี!I244"")"),70)</f>
        <v>70</v>
      </c>
      <c r="J349" s="370">
        <f ca="1">IFERROR(__xludf.DUMMYFUNCTION("IMPORTRANGE(""https://docs.google.com/spreadsheets/d/11923uPwbBZFjjGgGUA6NLw09EwE0CqkOc4q9oUmW1yo/edit?usp=sharing"",""อุทัยธานี!J244"")"),20)</f>
        <v>20</v>
      </c>
      <c r="K349" s="371">
        <f t="shared" ref="K349:K350" ca="1" si="104">IF(I349&gt;0,J349*100/I349,0)</f>
        <v>28.571428571428573</v>
      </c>
      <c r="L349" s="372">
        <f ca="1">IFERROR(__xludf.DUMMYFUNCTION("IMPORTRANGE(""https://docs.google.com/spreadsheets/d/11923uPwbBZFjjGgGUA6NLw09EwE0CqkOc4q9oUmW1yo/edit?usp=sharing"",""อุทัยธานี!L244"")"),303160)</f>
        <v>303160</v>
      </c>
      <c r="M349" s="372"/>
      <c r="N349" s="372">
        <f ca="1">IFERROR(__xludf.DUMMYFUNCTION("IMPORTRANGE(""https://docs.google.com/spreadsheets/d/11923uPwbBZFjjGgGUA6NLw09EwE0CqkOc4q9oUmW1yo/edit?usp=sharing"",""อุทัยธานี!M244"")"),255522.9)</f>
        <v>255522.9</v>
      </c>
      <c r="O349" s="372">
        <f ca="1">+IF(L349&gt;0,N349*100/L349,0)</f>
        <v>84.286482385538989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IFERROR(__xludf.DUMMYFUNCTION("IMPORTRANGE(""https://docs.google.com/spreadsheets/d/11923uPwbBZFjjGgGUA6NLw09EwE0CqkOc4q9oUmW1yo/edit?usp=sharing"",""อุทัยธานี!I245"")"),40)</f>
        <v>40</v>
      </c>
      <c r="J350" s="370">
        <f ca="1">IFERROR(__xludf.DUMMYFUNCTION("IMPORTRANGE(""https://docs.google.com/spreadsheets/d/11923uPwbBZFjjGgGUA6NLw09EwE0CqkOc4q9oUmW1yo/edit?usp=sharing"",""อุทัยธานี!J245"")"),40)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IFERROR(__xludf.DUMMYFUNCTION("IMPORTRANGE(""https://docs.google.com/spreadsheets/d/11923uPwbBZFjjGgGUA6NLw09EwE0CqkOc4q9oUmW1yo/edit?usp=sharing"",""อุทัยธานี!L246"")"),0)</f>
        <v>0</v>
      </c>
      <c r="M351" s="164"/>
      <c r="N351" s="164">
        <f ca="1">IFERROR(__xludf.DUMMYFUNCTION("IMPORTRANGE(""https://docs.google.com/spreadsheets/d/11923uPwbBZFjjGgGUA6NLw09EwE0CqkOc4q9oUmW1yo/edit?usp=sharing"",""อุทัยธานี!M246"")"),0)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IFERROR(__xludf.DUMMYFUNCTION("IMPORTRANGE(""https://docs.google.com/spreadsheets/d/11923uPwbBZFjjGgGUA6NLw09EwE0CqkOc4q9oUmW1yo/edit?usp=sharing"",""อุทัยธานี!L247"")"),303160)</f>
        <v>303160</v>
      </c>
      <c r="M352" s="165"/>
      <c r="N352" s="164">
        <f ca="1">IFERROR(__xludf.DUMMYFUNCTION("IMPORTRANGE(""https://docs.google.com/spreadsheets/d/11923uPwbBZFjjGgGUA6NLw09EwE0CqkOc4q9oUmW1yo/edit?usp=sharing"",""อุทัยธานี!M247"")"),255522.9)</f>
        <v>255522.9</v>
      </c>
      <c r="O352" s="165">
        <f t="shared" ca="1" si="105"/>
        <v>84.286482385538989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IFERROR(__xludf.DUMMYFUNCTION("IMPORTRANGE(""https://docs.google.com/spreadsheets/d/11923uPwbBZFjjGgGUA6NLw09EwE0CqkOc4q9oUmW1yo/edit?usp=sharing"",""อุทัยธานี!L248"")"),0)</f>
        <v>0</v>
      </c>
      <c r="M353" s="168"/>
      <c r="N353" s="168">
        <f ca="1">IFERROR(__xludf.DUMMYFUNCTION("IMPORTRANGE(""https://docs.google.com/spreadsheets/d/11923uPwbBZFjjGgGUA6NLw09EwE0CqkOc4q9oUmW1yo/edit?usp=sharing"",""อุทัยธานี!M248"")"),0)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IFERROR(__xludf.DUMMYFUNCTION("IMPORTRANGE(""https://docs.google.com/spreadsheets/d/11923uPwbBZFjjGgGUA6NLw09EwE0CqkOc4q9oUmW1yo/edit?usp=sharing"",""อุทัยธานี!L249"")"),303160)</f>
        <v>303160</v>
      </c>
      <c r="M354" s="168"/>
      <c r="N354" s="167">
        <f ca="1">IFERROR(__xludf.DUMMYFUNCTION("IMPORTRANGE(""https://docs.google.com/spreadsheets/d/11923uPwbBZFjjGgGUA6NLw09EwE0CqkOc4q9oUmW1yo/edit?usp=sharing"",""อุทัยธานี!M249"")"),255522.9)</f>
        <v>255522.9</v>
      </c>
      <c r="O354" s="168">
        <f t="shared" ca="1" si="105"/>
        <v>84.286482385538989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IFERROR(__xludf.DUMMYFUNCTION("IMPORTRANGE(""https://docs.google.com/spreadsheets/d/11923uPwbBZFjjGgGUA6NLw09EwE0CqkOc4q9oUmW1yo/edit?usp=sharing"",""อุทัยธานี!M250"")"),50400)</f>
        <v>50400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IFERROR(__xludf.DUMMYFUNCTION("IMPORTRANGE(""https://docs.google.com/spreadsheets/d/11923uPwbBZFjjGgGUA6NLw09EwE0CqkOc4q9oUmW1yo/edit?usp=sharing"",""อุทัยธานี!M251"")"),75000)</f>
        <v>75000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IFERROR(__xludf.DUMMYFUNCTION("IMPORTRANGE(""https://docs.google.com/spreadsheets/d/11923uPwbBZFjjGgGUA6NLw09EwE0CqkOc4q9oUmW1yo/edit?usp=sharing"",""อุทัยธานี!M252"")"),108362.9)</f>
        <v>108362.9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IFERROR(__xludf.DUMMYFUNCTION("IMPORTRANGE(""https://docs.google.com/spreadsheets/d/11923uPwbBZFjjGgGUA6NLw09EwE0CqkOc4q9oUmW1yo/edit?usp=sharing"",""อุทัยธานี!M253"")"),21760)</f>
        <v>21760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IFERROR(__xludf.DUMMYFUNCTION("IMPORTRANGE(""https://docs.google.com/spreadsheets/d/11923uPwbBZFjjGgGUA6NLw09EwE0CqkOc4q9oUmW1yo/edit?usp=sharing"",""อุทัยธานี!J255"")"),0)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IFERROR(__xludf.DUMMYFUNCTION("IMPORTRANGE(""https://docs.google.com/spreadsheets/d/11923uPwbBZFjjGgGUA6NLw09EwE0CqkOc4q9oUmW1yo/edit?usp=sharing"",""อุทัยธานี!J256"")"),1)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IFERROR(__xludf.DUMMYFUNCTION("IMPORTRANGE(""https://docs.google.com/spreadsheets/d/11923uPwbBZFjjGgGUA6NLw09EwE0CqkOc4q9oUmW1yo/edit?usp=sharing"",""อุทัยธานี!J257"")"),1)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IFERROR(__xludf.DUMMYFUNCTION("IMPORTRANGE(""https://docs.google.com/spreadsheets/d/11923uPwbBZFjjGgGUA6NLw09EwE0CqkOc4q9oUmW1yo/edit?usp=sharing"",""อุทัยธานี!J258"")"),1)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IFERROR(__xludf.DUMMYFUNCTION("IMPORTRANGE(""https://docs.google.com/spreadsheets/d/11923uPwbBZFjjGgGUA6NLw09EwE0CqkOc4q9oUmW1yo/edit?usp=sharing"",""อุทัยธานี!J166"")"),0)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IFERROR(__xludf.DUMMYFUNCTION("IMPORTRANGE(""https://docs.google.com/spreadsheets/d/11923uPwbBZFjjGgGUA6NLw09EwE0CqkOc4q9oUmW1yo/edit?usp=sharing"",""อุทัยธานี!J166"")"),0)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IFERROR(__xludf.DUMMYFUNCTION("IMPORTRANGE(""https://docs.google.com/spreadsheets/d/11923uPwbBZFjjGgGUA6NLw09EwE0CqkOc4q9oUmW1yo/edit?usp=sharing"",""อุทัยธานี!J166"")"),0)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IFERROR(__xludf.DUMMYFUNCTION("IMPORTRANGE(""https://docs.google.com/spreadsheets/d/11923uPwbBZFjjGgGUA6NLw09EwE0CqkOc4q9oUmW1yo/edit?usp=sharing"",""อุทัยธานี!J166"")"),0)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IFERROR(__xludf.DUMMYFUNCTION("IMPORTRANGE(""https://docs.google.com/spreadsheets/d/11923uPwbBZFjjGgGUA6NLw09EwE0CqkOc4q9oUmW1yo/edit?usp=sharing"",""อุทัยธานี!I263"")"),40)</f>
        <v>40</v>
      </c>
      <c r="J368" s="187">
        <f ca="1">IFERROR(__xludf.DUMMYFUNCTION("IMPORTRANGE(""https://docs.google.com/spreadsheets/d/11923uPwbBZFjjGgGUA6NLw09EwE0CqkOc4q9oUmW1yo/edit?usp=sharing"",""อุทัยธานี!J263"")"),40)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IFERROR(__xludf.DUMMYFUNCTION("IMPORTRANGE(""https://docs.google.com/spreadsheets/d/11923uPwbBZFjjGgGUA6NLw09EwE0CqkOc4q9oUmW1yo/edit?usp=sharing"",""อุทัยธานี!I164"")"),0)</f>
        <v>0</v>
      </c>
      <c r="J369" s="203">
        <f ca="1">IFERROR(__xludf.DUMMYFUNCTION("IMPORTRANGE(""https://docs.google.com/spreadsheets/d/11923uPwbBZFjjGgGUA6NLw09EwE0CqkOc4q9oUmW1yo/edit?usp=sharing"",""อุทัยธานี!J164"")"),0)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IFERROR(__xludf.DUMMYFUNCTION("IMPORTRANGE(""https://docs.google.com/spreadsheets/d/11923uPwbBZFjjGgGUA6NLw09EwE0CqkOc4q9oUmW1yo/edit?usp=sharing"",""อุทัยธานี!I265"")"),40)</f>
        <v>40</v>
      </c>
      <c r="J370" s="203">
        <f ca="1">IFERROR(__xludf.DUMMYFUNCTION("IMPORTRANGE(""https://docs.google.com/spreadsheets/d/11923uPwbBZFjjGgGUA6NLw09EwE0CqkOc4q9oUmW1yo/edit?usp=sharing"",""อุทัยธานี!J265"")"),40)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IFERROR(__xludf.DUMMYFUNCTION("IMPORTRANGE(""https://docs.google.com/spreadsheets/d/11923uPwbBZFjjGgGUA6NLw09EwE0CqkOc4q9oUmW1yo/edit?usp=sharing"",""อุทัยธานี!I164"")"),0)</f>
        <v>0</v>
      </c>
      <c r="J371" s="188">
        <f ca="1">IFERROR(__xludf.DUMMYFUNCTION("IMPORTRANGE(""https://docs.google.com/spreadsheets/d/11923uPwbBZFjjGgGUA6NLw09EwE0CqkOc4q9oUmW1yo/edit?usp=sharing"",""อุทัยธานี!J164"")"),0)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IFERROR(__xludf.DUMMYFUNCTION("IMPORTRANGE(""https://docs.google.com/spreadsheets/d/11923uPwbBZFjjGgGUA6NLw09EwE0CqkOc4q9oUmW1yo/edit?usp=sharing"",""อุทัยธานี!I267"")"),40)</f>
        <v>40</v>
      </c>
      <c r="J372" s="188">
        <f ca="1">IFERROR(__xludf.DUMMYFUNCTION("IMPORTRANGE(""https://docs.google.com/spreadsheets/d/11923uPwbBZFjjGgGUA6NLw09EwE0CqkOc4q9oUmW1yo/edit?usp=sharing"",""อุทัยธานี!J267"")"),40)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IFERROR(__xludf.DUMMYFUNCTION("IMPORTRANGE(""https://docs.google.com/spreadsheets/d/11923uPwbBZFjjGgGUA6NLw09EwE0CqkOc4q9oUmW1yo/edit?usp=sharing"",""อุทัยธานี!I164"")"),0)</f>
        <v>0</v>
      </c>
      <c r="J373" s="203">
        <f ca="1">IFERROR(__xludf.DUMMYFUNCTION("IMPORTRANGE(""https://docs.google.com/spreadsheets/d/11923uPwbBZFjjGgGUA6NLw09EwE0CqkOc4q9oUmW1yo/edit?usp=sharing"",""อุทัยธานี!J164"")"),0)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IFERROR(__xludf.DUMMYFUNCTION("IMPORTRANGE(""https://docs.google.com/spreadsheets/d/11923uPwbBZFjjGgGUA6NLw09EwE0CqkOc4q9oUmW1yo/edit?usp=sharing"",""อุทัยธานี!I164"")"),0)</f>
        <v>0</v>
      </c>
      <c r="J374" s="187">
        <f ca="1">IFERROR(__xludf.DUMMYFUNCTION("IMPORTRANGE(""https://docs.google.com/spreadsheets/d/11923uPwbBZFjjGgGUA6NLw09EwE0CqkOc4q9oUmW1yo/edit?usp=sharing"",""อุทัยธานี!J164"")"),0)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IFERROR(__xludf.DUMMYFUNCTION("IMPORTRANGE(""https://docs.google.com/spreadsheets/d/11923uPwbBZFjjGgGUA6NLw09EwE0CqkOc4q9oUmW1yo/edit?usp=sharing"",""อุทัยธานี!I270"")"),70)</f>
        <v>70</v>
      </c>
      <c r="J375" s="187">
        <f ca="1">IFERROR(__xludf.DUMMYFUNCTION("IMPORTRANGE(""https://docs.google.com/spreadsheets/d/11923uPwbBZFjjGgGUA6NLw09EwE0CqkOc4q9oUmW1yo/edit?usp=sharing"",""อุทัยธานี!J270"")"),20)</f>
        <v>20</v>
      </c>
      <c r="K375" s="163">
        <f t="shared" ref="K375:K377" ca="1" si="107">IF(I375&gt;0,J375*100/I375,0)</f>
        <v>28.571428571428573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IFERROR(__xludf.DUMMYFUNCTION("IMPORTRANGE(""https://docs.google.com/spreadsheets/d/11923uPwbBZFjjGgGUA6NLw09EwE0CqkOc4q9oUmW1yo/edit?usp=sharing"",""อุทัยธานี!I271"")"),20)</f>
        <v>20</v>
      </c>
      <c r="J376" s="188">
        <f ca="1">IFERROR(__xludf.DUMMYFUNCTION("IMPORTRANGE(""https://docs.google.com/spreadsheets/d/11923uPwbBZFjjGgGUA6NLw09EwE0CqkOc4q9oUmW1yo/edit?usp=sharing"",""อุทัยธานี!J271"")"),20)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IFERROR(__xludf.DUMMYFUNCTION("IMPORTRANGE(""https://docs.google.com/spreadsheets/d/11923uPwbBZFjjGgGUA6NLw09EwE0CqkOc4q9oUmW1yo/edit?usp=sharing"",""อุทัยธานี!I272"")"),50)</f>
        <v>50</v>
      </c>
      <c r="J377" s="203">
        <f ca="1">IFERROR(__xludf.DUMMYFUNCTION("IMPORTRANGE(""https://docs.google.com/spreadsheets/d/11923uPwbBZFjjGgGUA6NLw09EwE0CqkOc4q9oUmW1yo/edit?usp=sharing"",""อุทัยธานี!J272"")"),0)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IFERROR(__xludf.DUMMYFUNCTION("IMPORTRANGE(""https://docs.google.com/spreadsheets/d/11923uPwbBZFjjGgGUA6NLw09EwE0CqkOc4q9oUmW1yo/edit?usp=sharing"",""อุทัยธานี!J273"")"),0)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IFERROR(__xludf.DUMMYFUNCTION("IMPORTRANGE(""https://docs.google.com/spreadsheets/d/11923uPwbBZFjjGgGUA6NLw09EwE0CqkOc4q9oUmW1yo/edit?usp=sharing"",""อุทัยธานี!J274"")"),0)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IFERROR(__xludf.DUMMYFUNCTION("IMPORTRANGE(""https://docs.google.com/spreadsheets/d/11923uPwbBZFjjGgGUA6NLw09EwE0CqkOc4q9oUmW1yo/edit?usp=sharing"",""อุทัยธานี!I275"")"),1000)</f>
        <v>1000</v>
      </c>
      <c r="J380" s="370">
        <f ca="1">IFERROR(__xludf.DUMMYFUNCTION("IMPORTRANGE(""https://docs.google.com/spreadsheets/d/11923uPwbBZFjjGgGUA6NLw09EwE0CqkOc4q9oUmW1yo/edit?usp=sharing"",""อุทัยธานี!J275"")"),0)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IFERROR(__xludf.DUMMYFUNCTION("IMPORTRANGE(""https://docs.google.com/spreadsheets/d/11923uPwbBZFjjGgGUA6NLw09EwE0CqkOc4q9oUmW1yo/edit?usp=sharing"",""อุทัยธานี!L275"")"),1028520)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IFERROR(__xludf.DUMMYFUNCTION("IMPORTRANGE(""https://docs.google.com/spreadsheets/d/11923uPwbBZFjjGgGUA6NLw09EwE0CqkOc4q9oUmW1yo/edit?usp=sharing"",""อุทัยธานี!M275"")"),302752)</f>
        <v>302752</v>
      </c>
      <c r="O380" s="372">
        <f ca="1">+IF(L380&gt;0,N380*100/L380,0)</f>
        <v>29.435694006922567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IFERROR(__xludf.DUMMYFUNCTION("IMPORTRANGE(""https://docs.google.com/spreadsheets/d/11923uPwbBZFjjGgGUA6NLw09EwE0CqkOc4q9oUmW1yo/edit?usp=sharing"",""อุทัยธานี!I276"")"),100)</f>
        <v>100</v>
      </c>
      <c r="J381" s="370">
        <f ca="1">IFERROR(__xludf.DUMMYFUNCTION("IMPORTRANGE(""https://docs.google.com/spreadsheets/d/11923uPwbBZFjjGgGUA6NLw09EwE0CqkOc4q9oUmW1yo/edit?usp=sharing"",""อุทัยธานี!J276"")"),100)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IFERROR(__xludf.DUMMYFUNCTION("IMPORTRANGE(""https://docs.google.com/spreadsheets/d/11923uPwbBZFjjGgGUA6NLw09EwE0CqkOc4q9oUmW1yo/edit?usp=sharing"",""อุทัยธานี!L277"")"),0)</f>
        <v>0</v>
      </c>
      <c r="M382" s="164"/>
      <c r="N382" s="164">
        <f ca="1">IFERROR(__xludf.DUMMYFUNCTION("IMPORTRANGE(""https://docs.google.com/spreadsheets/d/11923uPwbBZFjjGgGUA6NLw09EwE0CqkOc4q9oUmW1yo/edit?usp=sharing"",""อุทัยธานี!M277"")"),0)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IFERROR(__xludf.DUMMYFUNCTION("IMPORTRANGE(""https://docs.google.com/spreadsheets/d/11923uPwbBZFjjGgGUA6NLw09EwE0CqkOc4q9oUmW1yo/edit?usp=sharing"",""อุทัยธานี!L278"")"),1028520)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IFERROR(__xludf.DUMMYFUNCTION("IMPORTRANGE(""https://docs.google.com/spreadsheets/d/11923uPwbBZFjjGgGUA6NLw09EwE0CqkOc4q9oUmW1yo/edit?usp=sharing"",""อุทัยธานี!M278"")"),302752)</f>
        <v>302752</v>
      </c>
      <c r="O383" s="165">
        <f t="shared" ca="1" si="109"/>
        <v>29.435694006922567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IFERROR(__xludf.DUMMYFUNCTION("IMPORTRANGE(""https://docs.google.com/spreadsheets/d/11923uPwbBZFjjGgGUA6NLw09EwE0CqkOc4q9oUmW1yo/edit?usp=sharing"",""อุทัยธานี!L279"")"),0)</f>
        <v>0</v>
      </c>
      <c r="M384" s="168"/>
      <c r="N384" s="168">
        <f ca="1">IFERROR(__xludf.DUMMYFUNCTION("IMPORTRANGE(""https://docs.google.com/spreadsheets/d/11923uPwbBZFjjGgGUA6NLw09EwE0CqkOc4q9oUmW1yo/edit?usp=sharing"",""อุทัยธานี!M279"")"),0)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IFERROR(__xludf.DUMMYFUNCTION("IMPORTRANGE(""https://docs.google.com/spreadsheets/d/11923uPwbBZFjjGgGUA6NLw09EwE0CqkOc4q9oUmW1yo/edit?usp=sharing"",""อุทัยธานี!L280"")"),1028520)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IFERROR(__xludf.DUMMYFUNCTION("IMPORTRANGE(""https://docs.google.com/spreadsheets/d/11923uPwbBZFjjGgGUA6NLw09EwE0CqkOc4q9oUmW1yo/edit?usp=sharing"",""อุทัยธานี!M280"")"),302752)</f>
        <v>302752</v>
      </c>
      <c r="O385" s="168">
        <f t="shared" ca="1" si="109"/>
        <v>29.435694006922567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IFERROR(__xludf.DUMMYFUNCTION("IMPORTRANGE(""https://docs.google.com/spreadsheets/d/11923uPwbBZFjjGgGUA6NLw09EwE0CqkOc4q9oUmW1yo/edit?usp=sharing"",""อุทัยธานี!M281"")"),198000)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IFERROR(__xludf.DUMMYFUNCTION("IMPORTRANGE(""https://docs.google.com/spreadsheets/d/11923uPwbBZFjjGgGUA6NLw09EwE0CqkOc4q9oUmW1yo/edit?usp=sharing"",""อุทัยธานี!M282"")"),0)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IFERROR(__xludf.DUMMYFUNCTION("IMPORTRANGE(""https://docs.google.com/spreadsheets/d/11923uPwbBZFjjGgGUA6NLw09EwE0CqkOc4q9oUmW1yo/edit?usp=sharing"",""อุทัยธานี!M283"")"),81942)</f>
        <v>81942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IFERROR(__xludf.DUMMYFUNCTION("IMPORTRANGE(""https://docs.google.com/spreadsheets/d/11923uPwbBZFjjGgGUA6NLw09EwE0CqkOc4q9oUmW1yo/edit?usp=sharing"",""อุทัยธานี!M284"")"),22810)</f>
        <v>22810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IFERROR(__xludf.DUMMYFUNCTION("IMPORTRANGE(""https://docs.google.com/spreadsheets/d/11923uPwbBZFjjGgGUA6NLw09EwE0CqkOc4q9oUmW1yo/edit?usp=sharing"",""อุทัยธานี!J286"")"),0)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IFERROR(__xludf.DUMMYFUNCTION("IMPORTRANGE(""https://docs.google.com/spreadsheets/d/11923uPwbBZFjjGgGUA6NLw09EwE0CqkOc4q9oUmW1yo/edit?usp=sharing"",""อุทัยธานี!J287"")"),1)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IFERROR(__xludf.DUMMYFUNCTION("IMPORTRANGE(""https://docs.google.com/spreadsheets/d/11923uPwbBZFjjGgGUA6NLw09EwE0CqkOc4q9oUmW1yo/edit?usp=sharing"",""อุทัยธานี!J288"")"),0)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IFERROR(__xludf.DUMMYFUNCTION("IMPORTRANGE(""https://docs.google.com/spreadsheets/d/11923uPwbBZFjjGgGUA6NLw09EwE0CqkOc4q9oUmW1yo/edit?usp=sharing"",""อุทัยธานี!J289"")"),0)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IFERROR(__xludf.DUMMYFUNCTION("IMPORTRANGE(""https://docs.google.com/spreadsheets/d/11923uPwbBZFjjGgGUA6NLw09EwE0CqkOc4q9oUmW1yo/edit?usp=sharing"",""อุทัยธานี!I291"")"),100)</f>
        <v>100</v>
      </c>
      <c r="J396" s="197">
        <f ca="1">IFERROR(__xludf.DUMMYFUNCTION("IMPORTRANGE(""https://docs.google.com/spreadsheets/d/11923uPwbBZFjjGgGUA6NLw09EwE0CqkOc4q9oUmW1yo/edit?usp=sharing"",""อุทัยธานี!J291"")"),100)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IFERROR(__xludf.DUMMYFUNCTION("IMPORTRANGE(""https://docs.google.com/spreadsheets/d/11923uPwbBZFjjGgGUA6NLw09EwE0CqkOc4q9oUmW1yo/edit?usp=sharing"",""อุทัยธานี!I292"")"),1000)</f>
        <v>1000</v>
      </c>
      <c r="J397" s="197">
        <f ca="1">IFERROR(__xludf.DUMMYFUNCTION("IMPORTRANGE(""https://docs.google.com/spreadsheets/d/11923uPwbBZFjjGgGUA6NLw09EwE0CqkOc4q9oUmW1yo/edit?usp=sharing"",""อุทัยธานี!J292"")"),0)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IFERROR(__xludf.DUMMYFUNCTION("IMPORTRANGE(""https://docs.google.com/spreadsheets/d/11923uPwbBZFjjGgGUA6NLw09EwE0CqkOc4q9oUmW1yo/edit?usp=sharing"",""อุทัยธานี!I293"")"),100)</f>
        <v>100</v>
      </c>
      <c r="J398" s="197">
        <f ca="1">IFERROR(__xludf.DUMMYFUNCTION("IMPORTRANGE(""https://docs.google.com/spreadsheets/d/11923uPwbBZFjjGgGUA6NLw09EwE0CqkOc4q9oUmW1yo/edit?usp=sharing"",""อุทัยธานี!J293"")"),0)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IFERROR(__xludf.DUMMYFUNCTION("IMPORTRANGE(""https://docs.google.com/spreadsheets/d/11923uPwbBZFjjGgGUA6NLw09EwE0CqkOc4q9oUmW1yo/edit?usp=sharing"",""อุทัยธานี!J294"")"),0)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IFERROR(__xludf.DUMMYFUNCTION("IMPORTRANGE(""https://docs.google.com/spreadsheets/d/11923uPwbBZFjjGgGUA6NLw09EwE0CqkOc4q9oUmW1yo/edit?usp=sharing"",""อุทัยธานี!J295"")"),0)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IFERROR(__xludf.DUMMYFUNCTION("IMPORTRANGE(""https://docs.google.com/spreadsheets/d/11923uPwbBZFjjGgGUA6NLw09EwE0CqkOc4q9oUmW1yo/edit?usp=sharing"",""อุทัยธานี!I296"")"),150)</f>
        <v>150</v>
      </c>
      <c r="J401" s="370">
        <f ca="1">IFERROR(__xludf.DUMMYFUNCTION("IMPORTRANGE(""https://docs.google.com/spreadsheets/d/11923uPwbBZFjjGgGUA6NLw09EwE0CqkOc4q9oUmW1yo/edit?usp=sharing"",""อุทัยธานี!J296"")"),150)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IFERROR(__xludf.DUMMYFUNCTION("IMPORTRANGE(""https://docs.google.com/spreadsheets/d/11923uPwbBZFjjGgGUA6NLw09EwE0CqkOc4q9oUmW1yo/edit?usp=sharing"",""อุทัยธานี!L296"")"),177900)</f>
        <v>177900</v>
      </c>
      <c r="M401" s="372"/>
      <c r="N401" s="372">
        <f ca="1">IFERROR(__xludf.DUMMYFUNCTION("IMPORTRANGE(""https://docs.google.com/spreadsheets/d/11923uPwbBZFjjGgGUA6NLw09EwE0CqkOc4q9oUmW1yo/edit?usp=sharing"",""อุทัยธานี!M296"")"),166744)</f>
        <v>166744</v>
      </c>
      <c r="O401" s="372">
        <f ca="1">+IF(L401&gt;0,N401*100/L401,0)</f>
        <v>93.729061270376619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IFERROR(__xludf.DUMMYFUNCTION("IMPORTRANGE(""https://docs.google.com/spreadsheets/d/11923uPwbBZFjjGgGUA6NLw09EwE0CqkOc4q9oUmW1yo/edit?usp=sharing"",""อุทัยธานี!I297"")"),50)</f>
        <v>50</v>
      </c>
      <c r="J402" s="370">
        <f ca="1">IFERROR(__xludf.DUMMYFUNCTION("IMPORTRANGE(""https://docs.google.com/spreadsheets/d/11923uPwbBZFjjGgGUA6NLw09EwE0CqkOc4q9oUmW1yo/edit?usp=sharing"",""อุทัยธานี!J297"")"),30)</f>
        <v>30</v>
      </c>
      <c r="K402" s="371">
        <f t="shared" ca="1" si="111"/>
        <v>60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IFERROR(__xludf.DUMMYFUNCTION("IMPORTRANGE(""https://docs.google.com/spreadsheets/d/11923uPwbBZFjjGgGUA6NLw09EwE0CqkOc4q9oUmW1yo/edit?usp=sharing"",""อุทัยธานี!L298"")"),0)</f>
        <v>0</v>
      </c>
      <c r="M403" s="164"/>
      <c r="N403" s="168">
        <f ca="1">IFERROR(__xludf.DUMMYFUNCTION("IMPORTRANGE(""https://docs.google.com/spreadsheets/d/11923uPwbBZFjjGgGUA6NLw09EwE0CqkOc4q9oUmW1yo/edit?usp=sharing"",""อุทัยธานี!M298"")"),0)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IFERROR(__xludf.DUMMYFUNCTION("IMPORTRANGE(""https://docs.google.com/spreadsheets/d/11923uPwbBZFjjGgGUA6NLw09EwE0CqkOc4q9oUmW1yo/edit?usp=sharing"",""อุทัยธานี!L299"")"),177900)</f>
        <v>177900</v>
      </c>
      <c r="M404" s="165"/>
      <c r="N404" s="168">
        <f ca="1">IFERROR(__xludf.DUMMYFUNCTION("IMPORTRANGE(""https://docs.google.com/spreadsheets/d/11923uPwbBZFjjGgGUA6NLw09EwE0CqkOc4q9oUmW1yo/edit?usp=sharing"",""อุทัยธานี!M299"")"),166744)</f>
        <v>166744</v>
      </c>
      <c r="O404" s="168">
        <f t="shared" ca="1" si="112"/>
        <v>93.729061270376619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IFERROR(__xludf.DUMMYFUNCTION("IMPORTRANGE(""https://docs.google.com/spreadsheets/d/11923uPwbBZFjjGgGUA6NLw09EwE0CqkOc4q9oUmW1yo/edit?usp=sharing"",""อุทัยธานี!L300"")"),0)</f>
        <v>0</v>
      </c>
      <c r="M405" s="168"/>
      <c r="N405" s="168">
        <f ca="1">IFERROR(__xludf.DUMMYFUNCTION("IMPORTRANGE(""https://docs.google.com/spreadsheets/d/11923uPwbBZFjjGgGUA6NLw09EwE0CqkOc4q9oUmW1yo/edit?usp=sharing"",""อุทัยธานี!M300"")"),0)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IFERROR(__xludf.DUMMYFUNCTION("IMPORTRANGE(""https://docs.google.com/spreadsheets/d/11923uPwbBZFjjGgGUA6NLw09EwE0CqkOc4q9oUmW1yo/edit?usp=sharing"",""อุทัยธานี!L301"")"),177900)</f>
        <v>177900</v>
      </c>
      <c r="M406" s="168"/>
      <c r="N406" s="168">
        <f ca="1">IFERROR(__xludf.DUMMYFUNCTION("IMPORTRANGE(""https://docs.google.com/spreadsheets/d/11923uPwbBZFjjGgGUA6NLw09EwE0CqkOc4q9oUmW1yo/edit?usp=sharing"",""อุทัยธานี!M301"")"),166744)</f>
        <v>166744</v>
      </c>
      <c r="O406" s="168">
        <f t="shared" ca="1" si="112"/>
        <v>93.729061270376619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IFERROR(__xludf.DUMMYFUNCTION("IMPORTRANGE(""https://docs.google.com/spreadsheets/d/11923uPwbBZFjjGgGUA6NLw09EwE0CqkOc4q9oUmW1yo/edit?usp=sharing"",""อุทัยธานี!M302"")"),104000)</f>
        <v>104000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IFERROR(__xludf.DUMMYFUNCTION("IMPORTRANGE(""https://docs.google.com/spreadsheets/d/11923uPwbBZFjjGgGUA6NLw09EwE0CqkOc4q9oUmW1yo/edit?usp=sharing"",""อุทัยธานี!M303"")"),44000)</f>
        <v>44000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IFERROR(__xludf.DUMMYFUNCTION("IMPORTRANGE(""https://docs.google.com/spreadsheets/d/11923uPwbBZFjjGgGUA6NLw09EwE0CqkOc4q9oUmW1yo/edit?usp=sharing"",""อุทัยธานี!M304"")"),0)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IFERROR(__xludf.DUMMYFUNCTION("IMPORTRANGE(""https://docs.google.com/spreadsheets/d/11923uPwbBZFjjGgGUA6NLw09EwE0CqkOc4q9oUmW1yo/edit?usp=sharing"",""อุทัยธานี!M305"")"),18744)</f>
        <v>18744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IFERROR(__xludf.DUMMYFUNCTION("IMPORTRANGE(""https://docs.google.com/spreadsheets/d/11923uPwbBZFjjGgGUA6NLw09EwE0CqkOc4q9oUmW1yo/edit?usp=sharing"",""อุทัยธานี!J307"")"),0)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IFERROR(__xludf.DUMMYFUNCTION("IMPORTRANGE(""https://docs.google.com/spreadsheets/d/11923uPwbBZFjjGgGUA6NLw09EwE0CqkOc4q9oUmW1yo/edit?usp=sharing"",""อุทัยธานี!J308"")"),1)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IFERROR(__xludf.DUMMYFUNCTION("IMPORTRANGE(""https://docs.google.com/spreadsheets/d/11923uPwbBZFjjGgGUA6NLw09EwE0CqkOc4q9oUmW1yo/edit?usp=sharing"",""อุทัยธานี!J309"")"),0)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IFERROR(__xludf.DUMMYFUNCTION("IMPORTRANGE(""https://docs.google.com/spreadsheets/d/11923uPwbBZFjjGgGUA6NLw09EwE0CqkOc4q9oUmW1yo/edit?usp=sharing"",""อุทัยธานี!J310"")"),0)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IFERROR(__xludf.DUMMYFUNCTION("IMPORTRANGE(""https://docs.google.com/spreadsheets/d/11923uPwbBZFjjGgGUA6NLw09EwE0CqkOc4q9oUmW1yo/edit?usp=sharing"",""อุทัยธานี!I311"")"),50)</f>
        <v>50</v>
      </c>
      <c r="J416" s="200">
        <f ca="1">IFERROR(__xludf.DUMMYFUNCTION("IMPORTRANGE(""https://docs.google.com/spreadsheets/d/11923uPwbBZFjjGgGUA6NLw09EwE0CqkOc4q9oUmW1yo/edit?usp=sharing"",""อุทัยธานี!J311"")"),30)</f>
        <v>30</v>
      </c>
      <c r="K416" s="201">
        <f t="shared" ref="K416:K432" ca="1" si="113">IF(I416&gt;0,J416*100/I416,0)</f>
        <v>60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IFERROR(__xludf.DUMMYFUNCTION("IMPORTRANGE(""https://docs.google.com/spreadsheets/d/11923uPwbBZFjjGgGUA6NLw09EwE0CqkOc4q9oUmW1yo/edit?usp=sharing"",""อุทัยธานี!I312"")"),20)</f>
        <v>20</v>
      </c>
      <c r="J417" s="391">
        <f ca="1">IFERROR(__xludf.DUMMYFUNCTION("IMPORTRANGE(""https://docs.google.com/spreadsheets/d/11923uPwbBZFjjGgGUA6NLw09EwE0CqkOc4q9oUmW1yo/edit?usp=sharing"",""อุทัยธานี!J312"")"),20)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IFERROR(__xludf.DUMMYFUNCTION("IMPORTRANGE(""https://docs.google.com/spreadsheets/d/11923uPwbBZFjjGgGUA6NLw09EwE0CqkOc4q9oUmW1yo/edit?usp=sharing"",""อุทัยธานี!I313"")"),60)</f>
        <v>60</v>
      </c>
      <c r="J418" s="392">
        <f ca="1">IFERROR(__xludf.DUMMYFUNCTION("IMPORTRANGE(""https://docs.google.com/spreadsheets/d/11923uPwbBZFjjGgGUA6NLw09EwE0CqkOc4q9oUmW1yo/edit?usp=sharing"",""อุทัยธานี!J313"")"),60)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IFERROR(__xludf.DUMMYFUNCTION("IMPORTRANGE(""https://docs.google.com/spreadsheets/d/11923uPwbBZFjjGgGUA6NLw09EwE0CqkOc4q9oUmW1yo/edit?usp=sharing"",""อุทัยธานี!I314"")"),20)</f>
        <v>20</v>
      </c>
      <c r="J419" s="393">
        <f ca="1">IFERROR(__xludf.DUMMYFUNCTION("IMPORTRANGE(""https://docs.google.com/spreadsheets/d/11923uPwbBZFjjGgGUA6NLw09EwE0CqkOc4q9oUmW1yo/edit?usp=sharing"",""อุทัยธานี!J314"")"),20)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IFERROR(__xludf.DUMMYFUNCTION("IMPORTRANGE(""https://docs.google.com/spreadsheets/d/11923uPwbBZFjjGgGUA6NLw09EwE0CqkOc4q9oUmW1yo/edit?usp=sharing"",""อุทัยธานี!I315"")"),20)</f>
        <v>20</v>
      </c>
      <c r="J420" s="393">
        <f ca="1">IFERROR(__xludf.DUMMYFUNCTION("IMPORTRANGE(""https://docs.google.com/spreadsheets/d/11923uPwbBZFjjGgGUA6NLw09EwE0CqkOc4q9oUmW1yo/edit?usp=sharing"",""อุทัยธานี!J315"")"),20)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IFERROR(__xludf.DUMMYFUNCTION("IMPORTRANGE(""https://docs.google.com/spreadsheets/d/11923uPwbBZFjjGgGUA6NLw09EwE0CqkOc4q9oUmW1yo/edit?usp=sharing"",""อุทัยธานี!I316"")"),20)</f>
        <v>20</v>
      </c>
      <c r="J421" s="391">
        <f ca="1">IFERROR(__xludf.DUMMYFUNCTION("IMPORTRANGE(""https://docs.google.com/spreadsheets/d/11923uPwbBZFjjGgGUA6NLw09EwE0CqkOc4q9oUmW1yo/edit?usp=sharing"",""อุทัยธานี!J316"")"),0)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IFERROR(__xludf.DUMMYFUNCTION("IMPORTRANGE(""https://docs.google.com/spreadsheets/d/11923uPwbBZFjjGgGUA6NLw09EwE0CqkOc4q9oUmW1yo/edit?usp=sharing"",""อุทัยธานี!I317"")"),60)</f>
        <v>60</v>
      </c>
      <c r="J422" s="392">
        <f ca="1">IFERROR(__xludf.DUMMYFUNCTION("IMPORTRANGE(""https://docs.google.com/spreadsheets/d/11923uPwbBZFjjGgGUA6NLw09EwE0CqkOc4q9oUmW1yo/edit?usp=sharing"",""อุทัยธานี!J317"")"),60)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IFERROR(__xludf.DUMMYFUNCTION("IMPORTRANGE(""https://docs.google.com/spreadsheets/d/11923uPwbBZFjjGgGUA6NLw09EwE0CqkOc4q9oUmW1yo/edit?usp=sharing"",""อุทัยธานี!I318"")"),20)</f>
        <v>20</v>
      </c>
      <c r="J423" s="393">
        <f ca="1">IFERROR(__xludf.DUMMYFUNCTION("IMPORTRANGE(""https://docs.google.com/spreadsheets/d/11923uPwbBZFjjGgGUA6NLw09EwE0CqkOc4q9oUmW1yo/edit?usp=sharing"",""อุทัยธานี!J318"")"),20)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IFERROR(__xludf.DUMMYFUNCTION("IMPORTRANGE(""https://docs.google.com/spreadsheets/d/11923uPwbBZFjjGgGUA6NLw09EwE0CqkOc4q9oUmW1yo/edit?usp=sharing"",""อุทัยธานี!I319"")"),20)</f>
        <v>20</v>
      </c>
      <c r="J424" s="393">
        <f ca="1">IFERROR(__xludf.DUMMYFUNCTION("IMPORTRANGE(""https://docs.google.com/spreadsheets/d/11923uPwbBZFjjGgGUA6NLw09EwE0CqkOc4q9oUmW1yo/edit?usp=sharing"",""อุทัยธานี!J319"")"),20)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IFERROR(__xludf.DUMMYFUNCTION("IMPORTRANGE(""https://docs.google.com/spreadsheets/d/11923uPwbBZFjjGgGUA6NLw09EwE0CqkOc4q9oUmW1yo/edit?usp=sharing"",""อุทัยธานี!I320"")"),20)</f>
        <v>20</v>
      </c>
      <c r="J425" s="393">
        <f ca="1">IFERROR(__xludf.DUMMYFUNCTION("IMPORTRANGE(""https://docs.google.com/spreadsheets/d/11923uPwbBZFjjGgGUA6NLw09EwE0CqkOc4q9oUmW1yo/edit?usp=sharing"",""อุทัยธานี!J320"")"),0)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IFERROR(__xludf.DUMMYFUNCTION("IMPORTRANGE(""https://docs.google.com/spreadsheets/d/11923uPwbBZFjjGgGUA6NLw09EwE0CqkOc4q9oUmW1yo/edit?usp=sharing"",""อุทัยธานี!I321"")"),10)</f>
        <v>10</v>
      </c>
      <c r="J426" s="391">
        <f ca="1">IFERROR(__xludf.DUMMYFUNCTION("IMPORTRANGE(""https://docs.google.com/spreadsheets/d/11923uPwbBZFjjGgGUA6NLw09EwE0CqkOc4q9oUmW1yo/edit?usp=sharing"",""อุทัยธานี!J321"")"),10)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IFERROR(__xludf.DUMMYFUNCTION("IMPORTRANGE(""https://docs.google.com/spreadsheets/d/11923uPwbBZFjjGgGUA6NLw09EwE0CqkOc4q9oUmW1yo/edit?usp=sharing"",""อุทัยธานี!I322"")"),30)</f>
        <v>30</v>
      </c>
      <c r="J427" s="392">
        <f ca="1">IFERROR(__xludf.DUMMYFUNCTION("IMPORTRANGE(""https://docs.google.com/spreadsheets/d/11923uPwbBZFjjGgGUA6NLw09EwE0CqkOc4q9oUmW1yo/edit?usp=sharing"",""อุทัยธานี!J322"")"),30)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IFERROR(__xludf.DUMMYFUNCTION("IMPORTRANGE(""https://docs.google.com/spreadsheets/d/11923uPwbBZFjjGgGUA6NLw09EwE0CqkOc4q9oUmW1yo/edit?usp=sharing"",""อุทัยธานี!I323"")"),10)</f>
        <v>10</v>
      </c>
      <c r="J428" s="393">
        <f ca="1">IFERROR(__xludf.DUMMYFUNCTION("IMPORTRANGE(""https://docs.google.com/spreadsheets/d/11923uPwbBZFjjGgGUA6NLw09EwE0CqkOc4q9oUmW1yo/edit?usp=sharing"",""อุทัยธานี!J323"")"),10)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IFERROR(__xludf.DUMMYFUNCTION("IMPORTRANGE(""https://docs.google.com/spreadsheets/d/11923uPwbBZFjjGgGUA6NLw09EwE0CqkOc4q9oUmW1yo/edit?usp=sharing"",""อุทัยธานี!I324"")"),10)</f>
        <v>10</v>
      </c>
      <c r="J429" s="393">
        <f ca="1">IFERROR(__xludf.DUMMYFUNCTION("IMPORTRANGE(""https://docs.google.com/spreadsheets/d/11923uPwbBZFjjGgGUA6NLw09EwE0CqkOc4q9oUmW1yo/edit?usp=sharing"",""อุทัยธานี!J324"")"),10)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IFERROR(__xludf.DUMMYFUNCTION("IMPORTRANGE(""https://docs.google.com/spreadsheets/d/11923uPwbBZFjjGgGUA6NLw09EwE0CqkOc4q9oUmW1yo/edit?usp=sharing"",""อุทัยธานี!I325"")"),40)</f>
        <v>40</v>
      </c>
      <c r="J430" s="391">
        <f ca="1">IFERROR(__xludf.DUMMYFUNCTION("IMPORTRANGE(""https://docs.google.com/spreadsheets/d/11923uPwbBZFjjGgGUA6NLw09EwE0CqkOc4q9oUmW1yo/edit?usp=sharing"",""อุทัยธานี!J325"")"),40)</f>
        <v>40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IFERROR(__xludf.DUMMYFUNCTION("IMPORTRANGE(""https://docs.google.com/spreadsheets/d/11923uPwbBZFjjGgGUA6NLw09EwE0CqkOc4q9oUmW1yo/edit?usp=sharing"",""อุทัยธานี!I326"")"),20)</f>
        <v>20</v>
      </c>
      <c r="J431" s="393">
        <f ca="1">IFERROR(__xludf.DUMMYFUNCTION("IMPORTRANGE(""https://docs.google.com/spreadsheets/d/11923uPwbBZFjjGgGUA6NLw09EwE0CqkOc4q9oUmW1yo/edit?usp=sharing"",""อุทัยธานี!J326"")"),20)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IFERROR(__xludf.DUMMYFUNCTION("IMPORTRANGE(""https://docs.google.com/spreadsheets/d/11923uPwbBZFjjGgGUA6NLw09EwE0CqkOc4q9oUmW1yo/edit?usp=sharing"",""อุทัยธานี!I327"")"),20)</f>
        <v>20</v>
      </c>
      <c r="J432" s="393">
        <f ca="1">IFERROR(__xludf.DUMMYFUNCTION("IMPORTRANGE(""https://docs.google.com/spreadsheets/d/11923uPwbBZFjjGgGUA6NLw09EwE0CqkOc4q9oUmW1yo/edit?usp=sharing"",""อุทัยธานี!J327"")"),20)</f>
        <v>20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IFERROR(__xludf.DUMMYFUNCTION("IMPORTRANGE(""https://docs.google.com/spreadsheets/d/11923uPwbBZFjjGgGUA6NLw09EwE0CqkOc4q9oUmW1yo/edit?usp=sharing"",""อุทัยธานี!J328"")"),0)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IFERROR(__xludf.DUMMYFUNCTION("IMPORTRANGE(""https://docs.google.com/spreadsheets/d/11923uPwbBZFjjGgGUA6NLw09EwE0CqkOc4q9oUmW1yo/edit?usp=sharing"",""อุทัยธานี!J329"")"),0)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IFERROR(__xludf.DUMMYFUNCTION("IMPORTRANGE(""https://docs.google.com/spreadsheets/d/11923uPwbBZFjjGgGUA6NLw09EwE0CqkOc4q9oUmW1yo/edit?usp=sharing"",""อุทัยธานี!I330"")"),15)</f>
        <v>15</v>
      </c>
      <c r="J435" s="409">
        <f ca="1">IFERROR(__xludf.DUMMYFUNCTION("IMPORTRANGE(""https://docs.google.com/spreadsheets/d/11923uPwbBZFjjGgGUA6NLw09EwE0CqkOc4q9oUmW1yo/edit?usp=sharing"",""อุทัยธานี!J330"")"),15)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IFERROR(__xludf.DUMMYFUNCTION("IMPORTRANGE(""https://docs.google.com/spreadsheets/d/11923uPwbBZFjjGgGUA6NLw09EwE0CqkOc4q9oUmW1yo/edit?usp=sharing"",""อุทัยธานี!L330"")"),88000)</f>
        <v>88000</v>
      </c>
      <c r="M435" s="411"/>
      <c r="N435" s="411">
        <f ca="1">IFERROR(__xludf.DUMMYFUNCTION("IMPORTRANGE(""https://docs.google.com/spreadsheets/d/11923uPwbBZFjjGgGUA6NLw09EwE0CqkOc4q9oUmW1yo/edit?usp=sharing"",""อุทัยธานี!M330"")"),52190)</f>
        <v>52190</v>
      </c>
      <c r="O435" s="411">
        <f t="shared" ref="O435:O439" ca="1" si="114">+IF(L435&gt;0,N435*100/L435,0)</f>
        <v>59.30681818181818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IFERROR(__xludf.DUMMYFUNCTION("IMPORTRANGE(""https://docs.google.com/spreadsheets/d/11923uPwbBZFjjGgGUA6NLw09EwE0CqkOc4q9oUmW1yo/edit?usp=sharing"",""อุทัยธานี!L331"")"),0)</f>
        <v>0</v>
      </c>
      <c r="M436" s="164"/>
      <c r="N436" s="168">
        <f ca="1">IFERROR(__xludf.DUMMYFUNCTION("IMPORTRANGE(""https://docs.google.com/spreadsheets/d/11923uPwbBZFjjGgGUA6NLw09EwE0CqkOc4q9oUmW1yo/edit?usp=sharing"",""อุทัยธานี!M331"")"),0)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IFERROR(__xludf.DUMMYFUNCTION("IMPORTRANGE(""https://docs.google.com/spreadsheets/d/11923uPwbBZFjjGgGUA6NLw09EwE0CqkOc4q9oUmW1yo/edit?usp=sharing"",""อุทัยธานี!L332"")"),88000)</f>
        <v>88000</v>
      </c>
      <c r="M437" s="165"/>
      <c r="N437" s="168">
        <f ca="1">IFERROR(__xludf.DUMMYFUNCTION("IMPORTRANGE(""https://docs.google.com/spreadsheets/d/11923uPwbBZFjjGgGUA6NLw09EwE0CqkOc4q9oUmW1yo/edit?usp=sharing"",""อุทัยธานี!M332"")"),52190)</f>
        <v>52190</v>
      </c>
      <c r="O437" s="168">
        <f t="shared" ca="1" si="114"/>
        <v>59.30681818181818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IFERROR(__xludf.DUMMYFUNCTION("IMPORTRANGE(""https://docs.google.com/spreadsheets/d/11923uPwbBZFjjGgGUA6NLw09EwE0CqkOc4q9oUmW1yo/edit?usp=sharing"",""อุทัยธานี!L333"")"),0)</f>
        <v>0</v>
      </c>
      <c r="M438" s="168"/>
      <c r="N438" s="168">
        <f ca="1">IFERROR(__xludf.DUMMYFUNCTION("IMPORTRANGE(""https://docs.google.com/spreadsheets/d/11923uPwbBZFjjGgGUA6NLw09EwE0CqkOc4q9oUmW1yo/edit?usp=sharing"",""อุทัยธานี!M333"")"),0)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IFERROR(__xludf.DUMMYFUNCTION("IMPORTRANGE(""https://docs.google.com/spreadsheets/d/11923uPwbBZFjjGgGUA6NLw09EwE0CqkOc4q9oUmW1yo/edit?usp=sharing"",""อุทัยธานี!L334"")"),88000)</f>
        <v>88000</v>
      </c>
      <c r="M439" s="168"/>
      <c r="N439" s="168">
        <f ca="1">IFERROR(__xludf.DUMMYFUNCTION("IMPORTRANGE(""https://docs.google.com/spreadsheets/d/11923uPwbBZFjjGgGUA6NLw09EwE0CqkOc4q9oUmW1yo/edit?usp=sharing"",""อุทัยธานี!M334"")"),52190)</f>
        <v>52190</v>
      </c>
      <c r="O439" s="168">
        <f t="shared" ca="1" si="114"/>
        <v>59.30681818181818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IFERROR(__xludf.DUMMYFUNCTION("IMPORTRANGE(""https://docs.google.com/spreadsheets/d/11923uPwbBZFjjGgGUA6NLw09EwE0CqkOc4q9oUmW1yo/edit?usp=sharing"",""อุทัยธานี!M335"")"),35300)</f>
        <v>35300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IFERROR(__xludf.DUMMYFUNCTION("IMPORTRANGE(""https://docs.google.com/spreadsheets/d/11923uPwbBZFjjGgGUA6NLw09EwE0CqkOc4q9oUmW1yo/edit?usp=sharing"",""อุทัยธานี!M336"")"),0)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IFERROR(__xludf.DUMMYFUNCTION("IMPORTRANGE(""https://docs.google.com/spreadsheets/d/11923uPwbBZFjjGgGUA6NLw09EwE0CqkOc4q9oUmW1yo/edit?usp=sharing"",""อุทัยธานี!M337"")"),0)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IFERROR(__xludf.DUMMYFUNCTION("IMPORTRANGE(""https://docs.google.com/spreadsheets/d/11923uPwbBZFjjGgGUA6NLw09EwE0CqkOc4q9oUmW1yo/edit?usp=sharing"",""อุทัยธานี!M338"")"),16890)</f>
        <v>16890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IFERROR(__xludf.DUMMYFUNCTION("IMPORTRANGE(""https://docs.google.com/spreadsheets/d/11923uPwbBZFjjGgGUA6NLw09EwE0CqkOc4q9oUmW1yo/edit?usp=sharing"",""อุทัยธานี!J340"")"),0)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IFERROR(__xludf.DUMMYFUNCTION("IMPORTRANGE(""https://docs.google.com/spreadsheets/d/11923uPwbBZFjjGgGUA6NLw09EwE0CqkOc4q9oUmW1yo/edit?usp=sharing"",""อุทัยธานี!J341"")"),1)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IFERROR(__xludf.DUMMYFUNCTION("IMPORTRANGE(""https://docs.google.com/spreadsheets/d/11923uPwbBZFjjGgGUA6NLw09EwE0CqkOc4q9oUmW1yo/edit?usp=sharing"",""อุทัยธานี!J342"")"),1)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IFERROR(__xludf.DUMMYFUNCTION("IMPORTRANGE(""https://docs.google.com/spreadsheets/d/11923uPwbBZFjjGgGUA6NLw09EwE0CqkOc4q9oUmW1yo/edit?usp=sharing"",""อุทัยธานี!J343"")"),1)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IFERROR(__xludf.DUMMYFUNCTION("IMPORTRANGE(""https://docs.google.com/spreadsheets/d/11923uPwbBZFjjGgGUA6NLw09EwE0CqkOc4q9oUmW1yo/edit?usp=sharing"",""อุทัยธานี!I344"")"),15)</f>
        <v>15</v>
      </c>
      <c r="J449" s="200">
        <f ca="1">IFERROR(__xludf.DUMMYFUNCTION("IMPORTRANGE(""https://docs.google.com/spreadsheets/d/11923uPwbBZFjjGgGUA6NLw09EwE0CqkOc4q9oUmW1yo/edit?usp=sharing"",""อุทัยธานี!J344"")"),15)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IFERROR(__xludf.DUMMYFUNCTION("IMPORTRANGE(""https://docs.google.com/spreadsheets/d/11923uPwbBZFjjGgGUA6NLw09EwE0CqkOc4q9oUmW1yo/edit?usp=sharing"",""อุทัยธานี!I345"")"),15)</f>
        <v>15</v>
      </c>
      <c r="J450" s="188">
        <f ca="1">IFERROR(__xludf.DUMMYFUNCTION("IMPORTRANGE(""https://docs.google.com/spreadsheets/d/11923uPwbBZFjjGgGUA6NLw09EwE0CqkOc4q9oUmW1yo/edit?usp=sharing"",""อุทัยธานี!J345"")"),15)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IFERROR(__xludf.DUMMYFUNCTION("IMPORTRANGE(""https://docs.google.com/spreadsheets/d/11923uPwbBZFjjGgGUA6NLw09EwE0CqkOc4q9oUmW1yo/edit?usp=sharing"",""อุทัยธานี!I346"")"),0)</f>
        <v>0</v>
      </c>
      <c r="J451" s="187">
        <f ca="1">IFERROR(__xludf.DUMMYFUNCTION("IMPORTRANGE(""https://docs.google.com/spreadsheets/d/11923uPwbBZFjjGgGUA6NLw09EwE0CqkOc4q9oUmW1yo/edit?usp=sharing"",""อุทัยธานี!J346"")"),0)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IFERROR(__xludf.DUMMYFUNCTION("IMPORTRANGE(""https://docs.google.com/spreadsheets/d/11923uPwbBZFjjGgGUA6NLw09EwE0CqkOc4q9oUmW1yo/edit?usp=sharing"",""อุทัยธานี!I347"")"),0)</f>
        <v>0</v>
      </c>
      <c r="J452" s="187">
        <f ca="1">IFERROR(__xludf.DUMMYFUNCTION("IMPORTRANGE(""https://docs.google.com/spreadsheets/d/11923uPwbBZFjjGgGUA6NLw09EwE0CqkOc4q9oUmW1yo/edit?usp=sharing"",""อุทัยธานี!J347"")"),0)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IFERROR(__xludf.DUMMYFUNCTION("IMPORTRANGE(""https://docs.google.com/spreadsheets/d/11923uPwbBZFjjGgGUA6NLw09EwE0CqkOc4q9oUmW1yo/edit?usp=sharing"",""อุทัยธานี!J348"")"),0)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IFERROR(__xludf.DUMMYFUNCTION("IMPORTRANGE(""https://docs.google.com/spreadsheets/d/11923uPwbBZFjjGgGUA6NLw09EwE0CqkOc4q9oUmW1yo/edit?usp=sharing"",""อุทัยธานี!J349"")"),0)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IFERROR(__xludf.DUMMYFUNCTION("IMPORTRANGE(""https://docs.google.com/spreadsheets/d/11923uPwbBZFjjGgGUA6NLw09EwE0CqkOc4q9oUmW1yo/edit?usp=sharing"",""อุทัยธานี!I350"")"),24034)</f>
        <v>24034</v>
      </c>
      <c r="J455" s="370">
        <f ca="1">IFERROR(__xludf.DUMMYFUNCTION("IMPORTRANGE(""https://docs.google.com/spreadsheets/d/11923uPwbBZFjjGgGUA6NLw09EwE0CqkOc4q9oUmW1yo/edit?usp=sharing"",""อุทัยธานี!J350"")"),24034)</f>
        <v>24034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IFERROR(__xludf.DUMMYFUNCTION("IMPORTRANGE(""https://docs.google.com/spreadsheets/d/11923uPwbBZFjjGgGUA6NLw09EwE0CqkOc4q9oUmW1yo/edit?usp=sharing"",""อุทัยธานี!L350"")"),320488)</f>
        <v>320488</v>
      </c>
      <c r="M455" s="372"/>
      <c r="N455" s="372">
        <f ca="1">IFERROR(__xludf.DUMMYFUNCTION("IMPORTRANGE(""https://docs.google.com/spreadsheets/d/11923uPwbBZFjjGgGUA6NLw09EwE0CqkOc4q9oUmW1yo/edit?usp=sharing"",""อุทัยธานี!M350"")"),55590)</f>
        <v>55590</v>
      </c>
      <c r="O455" s="372">
        <f t="shared" ref="O455:O459" ca="1" si="116">+IF(L455&gt;0,N455*100/L455,0)</f>
        <v>17.345423229574898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IFERROR(__xludf.DUMMYFUNCTION("IMPORTRANGE(""https://docs.google.com/spreadsheets/d/11923uPwbBZFjjGgGUA6NLw09EwE0CqkOc4q9oUmW1yo/edit?usp=sharing"",""อุทัยธานี!L351"")"),0)</f>
        <v>0</v>
      </c>
      <c r="M456" s="164"/>
      <c r="N456" s="168">
        <f ca="1">IFERROR(__xludf.DUMMYFUNCTION("IMPORTRANGE(""https://docs.google.com/spreadsheets/d/11923uPwbBZFjjGgGUA6NLw09EwE0CqkOc4q9oUmW1yo/edit?usp=sharing"",""อุทัยธานี!M351"")"),0)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IFERROR(__xludf.DUMMYFUNCTION("IMPORTRANGE(""https://docs.google.com/spreadsheets/d/11923uPwbBZFjjGgGUA6NLw09EwE0CqkOc4q9oUmW1yo/edit?usp=sharing"",""อุทัยธานี!L352"")"),320488)</f>
        <v>320488</v>
      </c>
      <c r="M457" s="165"/>
      <c r="N457" s="168">
        <f ca="1">IFERROR(__xludf.DUMMYFUNCTION("IMPORTRANGE(""https://docs.google.com/spreadsheets/d/11923uPwbBZFjjGgGUA6NLw09EwE0CqkOc4q9oUmW1yo/edit?usp=sharing"",""อุทัยธานี!M352"")"),55590)</f>
        <v>55590</v>
      </c>
      <c r="O457" s="168">
        <f t="shared" ca="1" si="116"/>
        <v>17.345423229574898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IFERROR(__xludf.DUMMYFUNCTION("IMPORTRANGE(""https://docs.google.com/spreadsheets/d/11923uPwbBZFjjGgGUA6NLw09EwE0CqkOc4q9oUmW1yo/edit?usp=sharing"",""อุทัยธานี!L353"")"),0)</f>
        <v>0</v>
      </c>
      <c r="M458" s="168"/>
      <c r="N458" s="168">
        <f ca="1">IFERROR(__xludf.DUMMYFUNCTION("IMPORTRANGE(""https://docs.google.com/spreadsheets/d/11923uPwbBZFjjGgGUA6NLw09EwE0CqkOc4q9oUmW1yo/edit?usp=sharing"",""อุทัยธานี!M353"")"),0)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IFERROR(__xludf.DUMMYFUNCTION("IMPORTRANGE(""https://docs.google.com/spreadsheets/d/11923uPwbBZFjjGgGUA6NLw09EwE0CqkOc4q9oUmW1yo/edit?usp=sharing"",""อุทัยธานี!L354"")"),320488)</f>
        <v>320488</v>
      </c>
      <c r="M459" s="168"/>
      <c r="N459" s="168">
        <f ca="1">IFERROR(__xludf.DUMMYFUNCTION("IMPORTRANGE(""https://docs.google.com/spreadsheets/d/11923uPwbBZFjjGgGUA6NLw09EwE0CqkOc4q9oUmW1yo/edit?usp=sharing"",""อุทัยธานี!M354"")"),55590)</f>
        <v>55590</v>
      </c>
      <c r="O459" s="168">
        <f t="shared" ca="1" si="116"/>
        <v>17.345423229574898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IFERROR(__xludf.DUMMYFUNCTION("IMPORTRANGE(""https://docs.google.com/spreadsheets/d/11923uPwbBZFjjGgGUA6NLw09EwE0CqkOc4q9oUmW1yo/edit?usp=sharing"",""อุทัยธานี!M355"")"),0)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IFERROR(__xludf.DUMMYFUNCTION("IMPORTRANGE(""https://docs.google.com/spreadsheets/d/11923uPwbBZFjjGgGUA6NLw09EwE0CqkOc4q9oUmW1yo/edit?usp=sharing"",""อุทัยธานี!M356"")"),0)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IFERROR(__xludf.DUMMYFUNCTION("IMPORTRANGE(""https://docs.google.com/spreadsheets/d/11923uPwbBZFjjGgGUA6NLw09EwE0CqkOc4q9oUmW1yo/edit?usp=sharing"",""อุทัยธานี!M357"")"),0)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IFERROR(__xludf.DUMMYFUNCTION("IMPORTRANGE(""https://docs.google.com/spreadsheets/d/11923uPwbBZFjjGgGUA6NLw09EwE0CqkOc4q9oUmW1yo/edit?usp=sharing"",""อุทัยธานี!M358"")"),55590)</f>
        <v>55590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IFERROR(__xludf.DUMMYFUNCTION("IMPORTRANGE(""https://docs.google.com/spreadsheets/d/11923uPwbBZFjjGgGUA6NLw09EwE0CqkOc4q9oUmW1yo/edit?usp=sharing"",""อุทัยธานี!I359"")"),24034)</f>
        <v>24034</v>
      </c>
      <c r="J464" s="267">
        <f ca="1">IFERROR(__xludf.DUMMYFUNCTION("IMPORTRANGE(""https://docs.google.com/spreadsheets/d/11923uPwbBZFjjGgGUA6NLw09EwE0CqkOc4q9oUmW1yo/edit?usp=sharing"",""อุทัยธานี!J359"")"),24034)</f>
        <v>24034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IFERROR(__xludf.DUMMYFUNCTION("IMPORTRANGE(""https://docs.google.com/spreadsheets/d/11923uPwbBZFjjGgGUA6NLw09EwE0CqkOc4q9oUmW1yo/edit?usp=sharing"",""อุทัยธานี!I360"")"),24034)</f>
        <v>24034</v>
      </c>
      <c r="J465" s="420">
        <f ca="1">IFERROR(__xludf.DUMMYFUNCTION("IMPORTRANGE(""https://docs.google.com/spreadsheets/d/11923uPwbBZFjjGgGUA6NLw09EwE0CqkOc4q9oUmW1yo/edit?usp=sharing"",""อุทัยธานี!J360"")"),24034.4)</f>
        <v>24034.400000000001</v>
      </c>
      <c r="K465" s="201">
        <f t="shared" ca="1" si="117"/>
        <v>100.00166430889573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IFERROR(__xludf.DUMMYFUNCTION("IMPORTRANGE(""https://docs.google.com/spreadsheets/d/11923uPwbBZFjjGgGUA6NLw09EwE0CqkOc4q9oUmW1yo/edit?usp=sharing"",""อุทัยธานี!I361"")"),2600)</f>
        <v>2600</v>
      </c>
      <c r="J466" s="420">
        <f ca="1">IFERROR(__xludf.DUMMYFUNCTION("IMPORTRANGE(""https://docs.google.com/spreadsheets/d/11923uPwbBZFjjGgGUA6NLw09EwE0CqkOc4q9oUmW1yo/edit?usp=sharing"",""อุทัยธานี!J361"")"),2600)</f>
        <v>2600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IFERROR(__xludf.DUMMYFUNCTION("IMPORTRANGE(""https://docs.google.com/spreadsheets/d/11923uPwbBZFjjGgGUA6NLw09EwE0CqkOc4q9oUmW1yo/edit?usp=sharing"",""อุทัยธานี!I362"")"),0)</f>
        <v>0</v>
      </c>
      <c r="J467" s="188">
        <f ca="1">IFERROR(__xludf.DUMMYFUNCTION("IMPORTRANGE(""https://docs.google.com/spreadsheets/d/11923uPwbBZFjjGgGUA6NLw09EwE0CqkOc4q9oUmW1yo/edit?usp=sharing"",""อุทัยธานี!J362"")"),17524)</f>
        <v>17524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IFERROR(__xludf.DUMMYFUNCTION("IMPORTRANGE(""https://docs.google.com/spreadsheets/d/11923uPwbBZFjjGgGUA6NLw09EwE0CqkOc4q9oUmW1yo/edit?usp=sharing"",""อุทัยธานี!I363"")"),0)</f>
        <v>0</v>
      </c>
      <c r="J468" s="188">
        <f ca="1">IFERROR(__xludf.DUMMYFUNCTION("IMPORTRANGE(""https://docs.google.com/spreadsheets/d/11923uPwbBZFjjGgGUA6NLw09EwE0CqkOc4q9oUmW1yo/edit?usp=sharing"",""อุทัยธานี!J363"")"),2103)</f>
        <v>2103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IFERROR(__xludf.DUMMYFUNCTION("IMPORTRANGE(""https://docs.google.com/spreadsheets/d/11923uPwbBZFjjGgGUA6NLw09EwE0CqkOc4q9oUmW1yo/edit?usp=sharing"",""อุทัยธานี!I364"")"),0)</f>
        <v>0</v>
      </c>
      <c r="J469" s="188">
        <f ca="1">IFERROR(__xludf.DUMMYFUNCTION("IMPORTRANGE(""https://docs.google.com/spreadsheets/d/11923uPwbBZFjjGgGUA6NLw09EwE0CqkOc4q9oUmW1yo/edit?usp=sharing"",""อุทัยธานี!J364"")"),5310.4)</f>
        <v>5310.4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IFERROR(__xludf.DUMMYFUNCTION("IMPORTRANGE(""https://docs.google.com/spreadsheets/d/11923uPwbBZFjjGgGUA6NLw09EwE0CqkOc4q9oUmW1yo/edit?usp=sharing"",""อุทัยธานี!I365"")"),0)</f>
        <v>0</v>
      </c>
      <c r="J470" s="188">
        <f ca="1">IFERROR(__xludf.DUMMYFUNCTION("IMPORTRANGE(""https://docs.google.com/spreadsheets/d/11923uPwbBZFjjGgGUA6NLw09EwE0CqkOc4q9oUmW1yo/edit?usp=sharing"",""อุทัยธานี!J365"")"),368)</f>
        <v>368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IFERROR(__xludf.DUMMYFUNCTION("IMPORTRANGE(""https://docs.google.com/spreadsheets/d/11923uPwbBZFjjGgGUA6NLw09EwE0CqkOc4q9oUmW1yo/edit?usp=sharing"",""อุทัยธานี!I366"")"),0)</f>
        <v>0</v>
      </c>
      <c r="J471" s="188">
        <f ca="1">IFERROR(__xludf.DUMMYFUNCTION("IMPORTRANGE(""https://docs.google.com/spreadsheets/d/11923uPwbBZFjjGgGUA6NLw09EwE0CqkOc4q9oUmW1yo/edit?usp=sharing"",""อุทัยธานี!J366"")"),1200)</f>
        <v>1200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IFERROR(__xludf.DUMMYFUNCTION("IMPORTRANGE(""https://docs.google.com/spreadsheets/d/11923uPwbBZFjjGgGUA6NLw09EwE0CqkOc4q9oUmW1yo/edit?usp=sharing"",""อุทัยธานี!I367"")"),0)</f>
        <v>0</v>
      </c>
      <c r="J472" s="188">
        <f ca="1">IFERROR(__xludf.DUMMYFUNCTION("IMPORTRANGE(""https://docs.google.com/spreadsheets/d/11923uPwbBZFjjGgGUA6NLw09EwE0CqkOc4q9oUmW1yo/edit?usp=sharing"",""อุทัยธานี!J367"")"),129)</f>
        <v>129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IFERROR(__xludf.DUMMYFUNCTION("IMPORTRANGE(""https://docs.google.com/spreadsheets/d/11923uPwbBZFjjGgGUA6NLw09EwE0CqkOc4q9oUmW1yo/edit?usp=sharing"",""อุทัยธานี!I368"")"),24034)</f>
        <v>24034</v>
      </c>
      <c r="J473" s="420">
        <f ca="1">IFERROR(__xludf.DUMMYFUNCTION("IMPORTRANGE(""https://docs.google.com/spreadsheets/d/11923uPwbBZFjjGgGUA6NLw09EwE0CqkOc4q9oUmW1yo/edit?usp=sharing"",""อุทัยธานี!J368"")"),24037)</f>
        <v>24037</v>
      </c>
      <c r="K473" s="201">
        <f t="shared" ca="1" si="117"/>
        <v>100.01248231671798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IFERROR(__xludf.DUMMYFUNCTION("IMPORTRANGE(""https://docs.google.com/spreadsheets/d/11923uPwbBZFjjGgGUA6NLw09EwE0CqkOc4q9oUmW1yo/edit?usp=sharing"",""อุทัยธานี!I369"")"),2600)</f>
        <v>2600</v>
      </c>
      <c r="J474" s="420">
        <f ca="1">IFERROR(__xludf.DUMMYFUNCTION("IMPORTRANGE(""https://docs.google.com/spreadsheets/d/11923uPwbBZFjjGgGUA6NLw09EwE0CqkOc4q9oUmW1yo/edit?usp=sharing"",""อุทัยธานี!J369"")"),2600)</f>
        <v>2600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IFERROR(__xludf.DUMMYFUNCTION("IMPORTRANGE(""https://docs.google.com/spreadsheets/d/11923uPwbBZFjjGgGUA6NLw09EwE0CqkOc4q9oUmW1yo/edit?usp=sharing"",""อุทัยธานี!I370"")"),0)</f>
        <v>0</v>
      </c>
      <c r="J475" s="188">
        <f ca="1">IFERROR(__xludf.DUMMYFUNCTION("IMPORTRANGE(""https://docs.google.com/spreadsheets/d/11923uPwbBZFjjGgGUA6NLw09EwE0CqkOc4q9oUmW1yo/edit?usp=sharing"",""อุทัยธานี!J370"")"),17808)</f>
        <v>17808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IFERROR(__xludf.DUMMYFUNCTION("IMPORTRANGE(""https://docs.google.com/spreadsheets/d/11923uPwbBZFjjGgGUA6NLw09EwE0CqkOc4q9oUmW1yo/edit?usp=sharing"",""อุทัยธานี!I371"")"),0)</f>
        <v>0</v>
      </c>
      <c r="J476" s="188">
        <f ca="1">IFERROR(__xludf.DUMMYFUNCTION("IMPORTRANGE(""https://docs.google.com/spreadsheets/d/11923uPwbBZFjjGgGUA6NLw09EwE0CqkOc4q9oUmW1yo/edit?usp=sharing"",""อุทัยธานี!J371"")"),2124)</f>
        <v>2124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IFERROR(__xludf.DUMMYFUNCTION("IMPORTRANGE(""https://docs.google.com/spreadsheets/d/11923uPwbBZFjjGgGUA6NLw09EwE0CqkOc4q9oUmW1yo/edit?usp=sharing"",""อุทัยธานี!I372"")"),0)</f>
        <v>0</v>
      </c>
      <c r="J477" s="188">
        <f ca="1">IFERROR(__xludf.DUMMYFUNCTION("IMPORTRANGE(""https://docs.google.com/spreadsheets/d/11923uPwbBZFjjGgGUA6NLw09EwE0CqkOc4q9oUmW1yo/edit?usp=sharing"",""อุทัยธานี!J372"")"),5029)</f>
        <v>5029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IFERROR(__xludf.DUMMYFUNCTION("IMPORTRANGE(""https://docs.google.com/spreadsheets/d/11923uPwbBZFjjGgGUA6NLw09EwE0CqkOc4q9oUmW1yo/edit?usp=sharing"",""อุทัยธานี!I373"")"),0)</f>
        <v>0</v>
      </c>
      <c r="J478" s="188">
        <f ca="1">IFERROR(__xludf.DUMMYFUNCTION("IMPORTRANGE(""https://docs.google.com/spreadsheets/d/11923uPwbBZFjjGgGUA6NLw09EwE0CqkOc4q9oUmW1yo/edit?usp=sharing"",""อุทัยธานี!J373"")"),347)</f>
        <v>347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IFERROR(__xludf.DUMMYFUNCTION("IMPORTRANGE(""https://docs.google.com/spreadsheets/d/11923uPwbBZFjjGgGUA6NLw09EwE0CqkOc4q9oUmW1yo/edit?usp=sharing"",""อุทัยธานี!I374"")"),0)</f>
        <v>0</v>
      </c>
      <c r="J479" s="188">
        <f ca="1">IFERROR(__xludf.DUMMYFUNCTION("IMPORTRANGE(""https://docs.google.com/spreadsheets/d/11923uPwbBZFjjGgGUA6NLw09EwE0CqkOc4q9oUmW1yo/edit?usp=sharing"",""อุทัยธานี!J374"")"),1200)</f>
        <v>1200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IFERROR(__xludf.DUMMYFUNCTION("IMPORTRANGE(""https://docs.google.com/spreadsheets/d/11923uPwbBZFjjGgGUA6NLw09EwE0CqkOc4q9oUmW1yo/edit?usp=sharing"",""อุทัยธานี!I375"")"),0)</f>
        <v>0</v>
      </c>
      <c r="J480" s="188">
        <f ca="1">IFERROR(__xludf.DUMMYFUNCTION("IMPORTRANGE(""https://docs.google.com/spreadsheets/d/11923uPwbBZFjjGgGUA6NLw09EwE0CqkOc4q9oUmW1yo/edit?usp=sharing"",""อุทัยธานี!J375"")"),129)</f>
        <v>129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IFERROR(__xludf.DUMMYFUNCTION("IMPORTRANGE(""https://docs.google.com/spreadsheets/d/11923uPwbBZFjjGgGUA6NLw09EwE0CqkOc4q9oUmW1yo/edit?usp=sharing"",""อุทัยธานี!I376"")"),24034)</f>
        <v>24034</v>
      </c>
      <c r="J481" s="420">
        <f ca="1">IFERROR(__xludf.DUMMYFUNCTION("IMPORTRANGE(""https://docs.google.com/spreadsheets/d/11923uPwbBZFjjGgGUA6NLw09EwE0CqkOc4q9oUmW1yo/edit?usp=sharing"",""อุทัยธานี!J376"")"),24034)</f>
        <v>24034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IFERROR(__xludf.DUMMYFUNCTION("IMPORTRANGE(""https://docs.google.com/spreadsheets/d/11923uPwbBZFjjGgGUA6NLw09EwE0CqkOc4q9oUmW1yo/edit?usp=sharing"",""อุทัยธานี!I377"")"),2600)</f>
        <v>2600</v>
      </c>
      <c r="J482" s="420">
        <f ca="1">IFERROR(__xludf.DUMMYFUNCTION("IMPORTRANGE(""https://docs.google.com/spreadsheets/d/11923uPwbBZFjjGgGUA6NLw09EwE0CqkOc4q9oUmW1yo/edit?usp=sharing"",""อุทัยธานี!J377"")"),2600)</f>
        <v>2600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IFERROR(__xludf.DUMMYFUNCTION("IMPORTRANGE(""https://docs.google.com/spreadsheets/d/11923uPwbBZFjjGgGUA6NLw09EwE0CqkOc4q9oUmW1yo/edit?usp=sharing"",""อุทัยธานี!I378"")"),0)</f>
        <v>0</v>
      </c>
      <c r="J483" s="188">
        <f ca="1">IFERROR(__xludf.DUMMYFUNCTION("IMPORTRANGE(""https://docs.google.com/spreadsheets/d/11923uPwbBZFjjGgGUA6NLw09EwE0CqkOc4q9oUmW1yo/edit?usp=sharing"",""อุทัยธานี!J378"")"),17805)</f>
        <v>17805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IFERROR(__xludf.DUMMYFUNCTION("IMPORTRANGE(""https://docs.google.com/spreadsheets/d/11923uPwbBZFjjGgGUA6NLw09EwE0CqkOc4q9oUmW1yo/edit?usp=sharing"",""อุทัยธานี!I379"")"),0)</f>
        <v>0</v>
      </c>
      <c r="J484" s="188">
        <f ca="1">IFERROR(__xludf.DUMMYFUNCTION("IMPORTRANGE(""https://docs.google.com/spreadsheets/d/11923uPwbBZFjjGgGUA6NLw09EwE0CqkOc4q9oUmW1yo/edit?usp=sharing"",""อุทัยธานี!J379"")"),2124)</f>
        <v>2124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IFERROR(__xludf.DUMMYFUNCTION("IMPORTRANGE(""https://docs.google.com/spreadsheets/d/11923uPwbBZFjjGgGUA6NLw09EwE0CqkOc4q9oUmW1yo/edit?usp=sharing"",""อุทัยธานี!I380"")"),0)</f>
        <v>0</v>
      </c>
      <c r="J485" s="188">
        <f ca="1">IFERROR(__xludf.DUMMYFUNCTION("IMPORTRANGE(""https://docs.google.com/spreadsheets/d/11923uPwbBZFjjGgGUA6NLw09EwE0CqkOc4q9oUmW1yo/edit?usp=sharing"",""อุทัยธานี!J380"")"),5029)</f>
        <v>5029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IFERROR(__xludf.DUMMYFUNCTION("IMPORTRANGE(""https://docs.google.com/spreadsheets/d/11923uPwbBZFjjGgGUA6NLw09EwE0CqkOc4q9oUmW1yo/edit?usp=sharing"",""อุทัยธานี!I381"")"),0)</f>
        <v>0</v>
      </c>
      <c r="J486" s="188">
        <f ca="1">IFERROR(__xludf.DUMMYFUNCTION("IMPORTRANGE(""https://docs.google.com/spreadsheets/d/11923uPwbBZFjjGgGUA6NLw09EwE0CqkOc4q9oUmW1yo/edit?usp=sharing"",""อุทัยธานี!J381"")"),347)</f>
        <v>347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IFERROR(__xludf.DUMMYFUNCTION("IMPORTRANGE(""https://docs.google.com/spreadsheets/d/11923uPwbBZFjjGgGUA6NLw09EwE0CqkOc4q9oUmW1yo/edit?usp=sharing"",""อุทัยธานี!I382"")"),0)</f>
        <v>0</v>
      </c>
      <c r="J487" s="420">
        <f ca="1">IFERROR(__xludf.DUMMYFUNCTION("IMPORTRANGE(""https://docs.google.com/spreadsheets/d/11923uPwbBZFjjGgGUA6NLw09EwE0CqkOc4q9oUmW1yo/edit?usp=sharing"",""อุทัยธานี!J382"")"),1200)</f>
        <v>1200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IFERROR(__xludf.DUMMYFUNCTION("IMPORTRANGE(""https://docs.google.com/spreadsheets/d/11923uPwbBZFjjGgGUA6NLw09EwE0CqkOc4q9oUmW1yo/edit?usp=sharing"",""อุทัยธานี!I383"")"),0)</f>
        <v>0</v>
      </c>
      <c r="J488" s="420">
        <f ca="1">IFERROR(__xludf.DUMMYFUNCTION("IMPORTRANGE(""https://docs.google.com/spreadsheets/d/11923uPwbBZFjjGgGUA6NLw09EwE0CqkOc4q9oUmW1yo/edit?usp=sharing"",""อุทัยธานี!J383"")"),129)</f>
        <v>129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IFERROR(__xludf.DUMMYFUNCTION("IMPORTRANGE(""https://docs.google.com/spreadsheets/d/11923uPwbBZFjjGgGUA6NLw09EwE0CqkOc4q9oUmW1yo/edit?usp=sharing"",""อุทัยธานี!I384"")"),0)</f>
        <v>0</v>
      </c>
      <c r="J489" s="188">
        <f ca="1">IFERROR(__xludf.DUMMYFUNCTION("IMPORTRANGE(""https://docs.google.com/spreadsheets/d/11923uPwbBZFjjGgGUA6NLw09EwE0CqkOc4q9oUmW1yo/edit?usp=sharing"",""อุทัยธานี!J384"")"),1102)</f>
        <v>1102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IFERROR(__xludf.DUMMYFUNCTION("IMPORTRANGE(""https://docs.google.com/spreadsheets/d/11923uPwbBZFjjGgGUA6NLw09EwE0CqkOc4q9oUmW1yo/edit?usp=sharing"",""อุทัยธานี!I385"")"),0)</f>
        <v>0</v>
      </c>
      <c r="J490" s="188">
        <f ca="1">IFERROR(__xludf.DUMMYFUNCTION("IMPORTRANGE(""https://docs.google.com/spreadsheets/d/11923uPwbBZFjjGgGUA6NLw09EwE0CqkOc4q9oUmW1yo/edit?usp=sharing"",""อุทัยธานี!J385"")"),118)</f>
        <v>118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IFERROR(__xludf.DUMMYFUNCTION("IMPORTRANGE(""https://docs.google.com/spreadsheets/d/11923uPwbBZFjjGgGUA6NLw09EwE0CqkOc4q9oUmW1yo/edit?usp=sharing"",""อุทัยธานี!I386"")"),0)</f>
        <v>0</v>
      </c>
      <c r="J491" s="188">
        <f ca="1">IFERROR(__xludf.DUMMYFUNCTION("IMPORTRANGE(""https://docs.google.com/spreadsheets/d/11923uPwbBZFjjGgGUA6NLw09EwE0CqkOc4q9oUmW1yo/edit?usp=sharing"",""อุทัยธานี!J386"")"),98)</f>
        <v>98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IFERROR(__xludf.DUMMYFUNCTION("IMPORTRANGE(""https://docs.google.com/spreadsheets/d/11923uPwbBZFjjGgGUA6NLw09EwE0CqkOc4q9oUmW1yo/edit?usp=sharing"",""อุทัยธานี!I387"")"),0)</f>
        <v>0</v>
      </c>
      <c r="J492" s="188">
        <f ca="1">IFERROR(__xludf.DUMMYFUNCTION("IMPORTRANGE(""https://docs.google.com/spreadsheets/d/11923uPwbBZFjjGgGUA6NLw09EwE0CqkOc4q9oUmW1yo/edit?usp=sharing"",""อุทัยธานี!J387"")"),11)</f>
        <v>11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IFERROR(__xludf.DUMMYFUNCTION("IMPORTRANGE(""https://docs.google.com/spreadsheets/d/11923uPwbBZFjjGgGUA6NLw09EwE0CqkOc4q9oUmW1yo/edit?usp=sharing"",""อุทัยธานี!I388"")"),0)</f>
        <v>0</v>
      </c>
      <c r="J493" s="188">
        <f ca="1">IFERROR(__xludf.DUMMYFUNCTION("IMPORTRANGE(""https://docs.google.com/spreadsheets/d/11923uPwbBZFjjGgGUA6NLw09EwE0CqkOc4q9oUmW1yo/edit?usp=sharing"",""อุทัยธานี!J388"")"),0)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IFERROR(__xludf.DUMMYFUNCTION("IMPORTRANGE(""https://docs.google.com/spreadsheets/d/11923uPwbBZFjjGgGUA6NLw09EwE0CqkOc4q9oUmW1yo/edit?usp=sharing"",""อุทัยธานี!I389"")"),0)</f>
        <v>0</v>
      </c>
      <c r="J494" s="436">
        <f ca="1">IFERROR(__xludf.DUMMYFUNCTION("IMPORTRANGE(""https://docs.google.com/spreadsheets/d/11923uPwbBZFjjGgGUA6NLw09EwE0CqkOc4q9oUmW1yo/edit?usp=sharing"",""อุทัยธานี!J389"")"),0)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IFERROR(__xludf.DUMMYFUNCTION("IMPORTRANGE(""https://docs.google.com/spreadsheets/d/11923uPwbBZFjjGgGUA6NLw09EwE0CqkOc4q9oUmW1yo/edit?usp=sharing"",""อุทัยธานี!I390"")"),0)</f>
        <v>0</v>
      </c>
      <c r="J495" s="436">
        <f ca="1">IFERROR(__xludf.DUMMYFUNCTION("IMPORTRANGE(""https://docs.google.com/spreadsheets/d/11923uPwbBZFjjGgGUA6NLw09EwE0CqkOc4q9oUmW1yo/edit?usp=sharing"",""อุทัยธานี!J390"")"),0)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IFERROR(__xludf.DUMMYFUNCTION("IMPORTRANGE(""https://docs.google.com/spreadsheets/d/11923uPwbBZFjjGgGUA6NLw09EwE0CqkOc4q9oUmW1yo/edit?usp=sharing"",""อุทัยธานี!I391"")"),0)</f>
        <v>0</v>
      </c>
      <c r="J496" s="436">
        <f ca="1">IFERROR(__xludf.DUMMYFUNCTION("IMPORTRANGE(""https://docs.google.com/spreadsheets/d/11923uPwbBZFjjGgGUA6NLw09EwE0CqkOc4q9oUmW1yo/edit?usp=sharing"",""อุทัยธานี!J391"")"),0)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IFERROR(__xludf.DUMMYFUNCTION("IMPORTRANGE(""https://docs.google.com/spreadsheets/d/11923uPwbBZFjjGgGUA6NLw09EwE0CqkOc4q9oUmW1yo/edit?usp=sharing"",""อุทัยธานี!I392"")"),7373)</f>
        <v>7373</v>
      </c>
      <c r="J497" s="443">
        <f ca="1">IFERROR(__xludf.DUMMYFUNCTION("IMPORTRANGE(""https://docs.google.com/spreadsheets/d/11923uPwbBZFjjGgGUA6NLw09EwE0CqkOc4q9oUmW1yo/edit?usp=sharing"",""อุทัยธานี!J392"")"),1787)</f>
        <v>1787</v>
      </c>
      <c r="K497" s="444">
        <f t="shared" ca="1" si="117"/>
        <v>24.237081242370813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IFERROR(__xludf.DUMMYFUNCTION("IMPORTRANGE(""https://docs.google.com/spreadsheets/d/11923uPwbBZFjjGgGUA6NLw09EwE0CqkOc4q9oUmW1yo/edit?usp=sharing"",""อุทัยธานี!I393"")"),7373)</f>
        <v>7373</v>
      </c>
      <c r="J498" s="420">
        <f ca="1">IFERROR(__xludf.DUMMYFUNCTION("IMPORTRANGE(""https://docs.google.com/spreadsheets/d/11923uPwbBZFjjGgGUA6NLw09EwE0CqkOc4q9oUmW1yo/edit?usp=sharing"",""อุทัยธานี!J393"")"),1787)</f>
        <v>1787</v>
      </c>
      <c r="K498" s="163">
        <f t="shared" ca="1" si="117"/>
        <v>24.237081242370813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IFERROR(__xludf.DUMMYFUNCTION("IMPORTRANGE(""https://docs.google.com/spreadsheets/d/11923uPwbBZFjjGgGUA6NLw09EwE0CqkOc4q9oUmW1yo/edit?usp=sharing"",""อุทัยธานี!I394"")"),412)</f>
        <v>412</v>
      </c>
      <c r="J499" s="420">
        <f ca="1">IFERROR(__xludf.DUMMYFUNCTION("IMPORTRANGE(""https://docs.google.com/spreadsheets/d/11923uPwbBZFjjGgGUA6NLw09EwE0CqkOc4q9oUmW1yo/edit?usp=sharing"",""อุทัยธานี!J394"")"),107)</f>
        <v>107</v>
      </c>
      <c r="K499" s="201">
        <f t="shared" ca="1" si="117"/>
        <v>25.970873786407768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IFERROR(__xludf.DUMMYFUNCTION("IMPORTRANGE(""https://docs.google.com/spreadsheets/d/11923uPwbBZFjjGgGUA6NLw09EwE0CqkOc4q9oUmW1yo/edit?usp=sharing"",""อุทัยธานี!I395"")"),0)</f>
        <v>0</v>
      </c>
      <c r="J500" s="162">
        <f ca="1">IFERROR(__xludf.DUMMYFUNCTION("IMPORTRANGE(""https://docs.google.com/spreadsheets/d/11923uPwbBZFjjGgGUA6NLw09EwE0CqkOc4q9oUmW1yo/edit?usp=sharing"",""อุทัยธานี!J395"")"),1676)</f>
        <v>1676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IFERROR(__xludf.DUMMYFUNCTION("IMPORTRANGE(""https://docs.google.com/spreadsheets/d/11923uPwbBZFjjGgGUA6NLw09EwE0CqkOc4q9oUmW1yo/edit?usp=sharing"",""อุทัยธานี!I396"")"),0)</f>
        <v>0</v>
      </c>
      <c r="J501" s="162">
        <f ca="1">IFERROR(__xludf.DUMMYFUNCTION("IMPORTRANGE(""https://docs.google.com/spreadsheets/d/11923uPwbBZFjjGgGUA6NLw09EwE0CqkOc4q9oUmW1yo/edit?usp=sharing"",""อุทัยธานี!J396"")"),99)</f>
        <v>99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IFERROR(__xludf.DUMMYFUNCTION("IMPORTRANGE(""https://docs.google.com/spreadsheets/d/11923uPwbBZFjjGgGUA6NLw09EwE0CqkOc4q9oUmW1yo/edit?usp=sharing"",""อุทัยธานี!I397"")"),0)</f>
        <v>0</v>
      </c>
      <c r="J502" s="188">
        <f ca="1">IFERROR(__xludf.DUMMYFUNCTION("IMPORTRANGE(""https://docs.google.com/spreadsheets/d/11923uPwbBZFjjGgGUA6NLw09EwE0CqkOc4q9oUmW1yo/edit?usp=sharing"",""อุทัยธานี!J397"")"),1213)</f>
        <v>1213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IFERROR(__xludf.DUMMYFUNCTION("IMPORTRANGE(""https://docs.google.com/spreadsheets/d/11923uPwbBZFjjGgGUA6NLw09EwE0CqkOc4q9oUmW1yo/edit?usp=sharing"",""อุทัยธานี!I398"")"),0)</f>
        <v>0</v>
      </c>
      <c r="J503" s="197">
        <f ca="1">IFERROR(__xludf.DUMMYFUNCTION("IMPORTRANGE(""https://docs.google.com/spreadsheets/d/11923uPwbBZFjjGgGUA6NLw09EwE0CqkOc4q9oUmW1yo/edit?usp=sharing"",""อุทัยธานี!J398"")"),71)</f>
        <v>71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IFERROR(__xludf.DUMMYFUNCTION("IMPORTRANGE(""https://docs.google.com/spreadsheets/d/11923uPwbBZFjjGgGUA6NLw09EwE0CqkOc4q9oUmW1yo/edit?usp=sharing"",""อุทัยธานี!I399"")"),0)</f>
        <v>0</v>
      </c>
      <c r="J504" s="188">
        <f ca="1">IFERROR(__xludf.DUMMYFUNCTION("IMPORTRANGE(""https://docs.google.com/spreadsheets/d/11923uPwbBZFjjGgGUA6NLw09EwE0CqkOc4q9oUmW1yo/edit?usp=sharing"",""อุทัยธานี!J399"")"),437)</f>
        <v>437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IFERROR(__xludf.DUMMYFUNCTION("IMPORTRANGE(""https://docs.google.com/spreadsheets/d/11923uPwbBZFjjGgGUA6NLw09EwE0CqkOc4q9oUmW1yo/edit?usp=sharing"",""อุทัยธานี!I400"")"),0)</f>
        <v>0</v>
      </c>
      <c r="J505" s="197">
        <f ca="1">IFERROR(__xludf.DUMMYFUNCTION("IMPORTRANGE(""https://docs.google.com/spreadsheets/d/11923uPwbBZFjjGgGUA6NLw09EwE0CqkOc4q9oUmW1yo/edit?usp=sharing"",""อุทัยธานี!J400"")"),27)</f>
        <v>27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IFERROR(__xludf.DUMMYFUNCTION("IMPORTRANGE(""https://docs.google.com/spreadsheets/d/11923uPwbBZFjjGgGUA6NLw09EwE0CqkOc4q9oUmW1yo/edit?usp=sharing"",""อุทัยธานี!I401"")"),0)</f>
        <v>0</v>
      </c>
      <c r="J506" s="188">
        <f ca="1">IFERROR(__xludf.DUMMYFUNCTION("IMPORTRANGE(""https://docs.google.com/spreadsheets/d/11923uPwbBZFjjGgGUA6NLw09EwE0CqkOc4q9oUmW1yo/edit?usp=sharing"",""อุทัยธานี!J401"")"),26)</f>
        <v>26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IFERROR(__xludf.DUMMYFUNCTION("IMPORTRANGE(""https://docs.google.com/spreadsheets/d/11923uPwbBZFjjGgGUA6NLw09EwE0CqkOc4q9oUmW1yo/edit?usp=sharing"",""อุทัยธานี!I402"")"),0)</f>
        <v>0</v>
      </c>
      <c r="J507" s="197">
        <f ca="1">IFERROR(__xludf.DUMMYFUNCTION("IMPORTRANGE(""https://docs.google.com/spreadsheets/d/11923uPwbBZFjjGgGUA6NLw09EwE0CqkOc4q9oUmW1yo/edit?usp=sharing"",""อุทัยธานี!J402"")"),1)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IFERROR(__xludf.DUMMYFUNCTION("IMPORTRANGE(""https://docs.google.com/spreadsheets/d/11923uPwbBZFjjGgGUA6NLw09EwE0CqkOc4q9oUmW1yo/edit?usp=sharing"",""อุทัยธานี!I403"")"),0)</f>
        <v>0</v>
      </c>
      <c r="J508" s="162">
        <f ca="1">IFERROR(__xludf.DUMMYFUNCTION("IMPORTRANGE(""https://docs.google.com/spreadsheets/d/11923uPwbBZFjjGgGUA6NLw09EwE0CqkOc4q9oUmW1yo/edit?usp=sharing"",""อุทัยธานี!J403"")"),111)</f>
        <v>111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IFERROR(__xludf.DUMMYFUNCTION("IMPORTRANGE(""https://docs.google.com/spreadsheets/d/11923uPwbBZFjjGgGUA6NLw09EwE0CqkOc4q9oUmW1yo/edit?usp=sharing"",""อุทัยธานี!I404"")"),0)</f>
        <v>0</v>
      </c>
      <c r="J509" s="162">
        <f ca="1">IFERROR(__xludf.DUMMYFUNCTION("IMPORTRANGE(""https://docs.google.com/spreadsheets/d/11923uPwbBZFjjGgGUA6NLw09EwE0CqkOc4q9oUmW1yo/edit?usp=sharing"",""อุทัยธานี!J404"")"),8)</f>
        <v>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IFERROR(__xludf.DUMMYFUNCTION("IMPORTRANGE(""https://docs.google.com/spreadsheets/d/11923uPwbBZFjjGgGUA6NLw09EwE0CqkOc4q9oUmW1yo/edit?usp=sharing"",""อุทัยธานี!I405"")"),0)</f>
        <v>0</v>
      </c>
      <c r="J510" s="197">
        <f ca="1">IFERROR(__xludf.DUMMYFUNCTION("IMPORTRANGE(""https://docs.google.com/spreadsheets/d/11923uPwbBZFjjGgGUA6NLw09EwE0CqkOc4q9oUmW1yo/edit?usp=sharing"",""อุทัยธานี!J405"")"),53)</f>
        <v>53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IFERROR(__xludf.DUMMYFUNCTION("IMPORTRANGE(""https://docs.google.com/spreadsheets/d/11923uPwbBZFjjGgGUA6NLw09EwE0CqkOc4q9oUmW1yo/edit?usp=sharing"",""อุทัยธานี!I406"")"),0)</f>
        <v>0</v>
      </c>
      <c r="J511" s="197">
        <f ca="1">IFERROR(__xludf.DUMMYFUNCTION("IMPORTRANGE(""https://docs.google.com/spreadsheets/d/11923uPwbBZFjjGgGUA6NLw09EwE0CqkOc4q9oUmW1yo/edit?usp=sharing"",""อุทัยธานี!J406"")"),4)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IFERROR(__xludf.DUMMYFUNCTION("IMPORTRANGE(""https://docs.google.com/spreadsheets/d/11923uPwbBZFjjGgGUA6NLw09EwE0CqkOc4q9oUmW1yo/edit?usp=sharing"",""อุทัยธานี!I407"")"),0)</f>
        <v>0</v>
      </c>
      <c r="J512" s="197">
        <f ca="1">IFERROR(__xludf.DUMMYFUNCTION("IMPORTRANGE(""https://docs.google.com/spreadsheets/d/11923uPwbBZFjjGgGUA6NLw09EwE0CqkOc4q9oUmW1yo/edit?usp=sharing"",""อุทัยธานี!J407"")"),58)</f>
        <v>58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IFERROR(__xludf.DUMMYFUNCTION("IMPORTRANGE(""https://docs.google.com/spreadsheets/d/11923uPwbBZFjjGgGUA6NLw09EwE0CqkOc4q9oUmW1yo/edit?usp=sharing"",""อุทัยธานี!I408"")"),0)</f>
        <v>0</v>
      </c>
      <c r="J513" s="197">
        <f ca="1">IFERROR(__xludf.DUMMYFUNCTION("IMPORTRANGE(""https://docs.google.com/spreadsheets/d/11923uPwbBZFjjGgGUA6NLw09EwE0CqkOc4q9oUmW1yo/edit?usp=sharing"",""อุทัยธานี!J408"")"),4)</f>
        <v>4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IFERROR(__xludf.DUMMYFUNCTION("IMPORTRANGE(""https://docs.google.com/spreadsheets/d/11923uPwbBZFjjGgGUA6NLw09EwE0CqkOc4q9oUmW1yo/edit?usp=sharing"",""อุทัยธานี!I409"")"),0)</f>
        <v>0</v>
      </c>
      <c r="J514" s="197">
        <f ca="1">IFERROR(__xludf.DUMMYFUNCTION("IMPORTRANGE(""https://docs.google.com/spreadsheets/d/11923uPwbBZFjjGgGUA6NLw09EwE0CqkOc4q9oUmW1yo/edit?usp=sharing"",""อุทัยธานี!J409"")"),0)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IFERROR(__xludf.DUMMYFUNCTION("IMPORTRANGE(""https://docs.google.com/spreadsheets/d/11923uPwbBZFjjGgGUA6NLw09EwE0CqkOc4q9oUmW1yo/edit?usp=sharing"",""อุทัยธานี!I410"")"),0)</f>
        <v>0</v>
      </c>
      <c r="J515" s="197">
        <f ca="1">IFERROR(__xludf.DUMMYFUNCTION("IMPORTRANGE(""https://docs.google.com/spreadsheets/d/11923uPwbBZFjjGgGUA6NLw09EwE0CqkOc4q9oUmW1yo/edit?usp=sharing"",""อุทัยธานี!J410"")"),0)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IFERROR(__xludf.DUMMYFUNCTION("IMPORTRANGE(""https://docs.google.com/spreadsheets/d/11923uPwbBZFjjGgGUA6NLw09EwE0CqkOc4q9oUmW1yo/edit?usp=sharing"",""อุทัยธานี!I411"")"),0)</f>
        <v>0</v>
      </c>
      <c r="J516" s="267">
        <f ca="1">IFERROR(__xludf.DUMMYFUNCTION("IMPORTRANGE(""https://docs.google.com/spreadsheets/d/11923uPwbBZFjjGgGUA6NLw09EwE0CqkOc4q9oUmW1yo/edit?usp=sharing"",""อุทัยธานี!J411"")"),0)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IFERROR(__xludf.DUMMYFUNCTION("IMPORTRANGE(""https://docs.google.com/spreadsheets/d/11923uPwbBZFjjGgGUA6NLw09EwE0CqkOc4q9oUmW1yo/edit?usp=sharing"",""อุทัยธานี!I412"")"),0)</f>
        <v>0</v>
      </c>
      <c r="J517" s="284">
        <f ca="1">IFERROR(__xludf.DUMMYFUNCTION("IMPORTRANGE(""https://docs.google.com/spreadsheets/d/11923uPwbBZFjjGgGUA6NLw09EwE0CqkOc4q9oUmW1yo/edit?usp=sharing"",""อุทัยธานี!J412"")"),0)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IFERROR(__xludf.DUMMYFUNCTION("IMPORTRANGE(""https://docs.google.com/spreadsheets/d/11923uPwbBZFjjGgGUA6NLw09EwE0CqkOc4q9oUmW1yo/edit?usp=sharing"",""อุทัยธานี!I413"")"),0)</f>
        <v>0</v>
      </c>
      <c r="J518" s="284">
        <f ca="1">IFERROR(__xludf.DUMMYFUNCTION("IMPORTRANGE(""https://docs.google.com/spreadsheets/d/11923uPwbBZFjjGgGUA6NLw09EwE0CqkOc4q9oUmW1yo/edit?usp=sharing"",""อุทัยธานี!J413"")"),0)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IFERROR(__xludf.DUMMYFUNCTION("IMPORTRANGE(""https://docs.google.com/spreadsheets/d/11923uPwbBZFjjGgGUA6NLw09EwE0CqkOc4q9oUmW1yo/edit?usp=sharing"",""อุทัยธานี!I414"")"),0)</f>
        <v>0</v>
      </c>
      <c r="J519" s="187">
        <f ca="1">IFERROR(__xludf.DUMMYFUNCTION("IMPORTRANGE(""https://docs.google.com/spreadsheets/d/11923uPwbBZFjjGgGUA6NLw09EwE0CqkOc4q9oUmW1yo/edit?usp=sharing"",""อุทัยธานี!J414"")"),0)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IFERROR(__xludf.DUMMYFUNCTION("IMPORTRANGE(""https://docs.google.com/spreadsheets/d/11923uPwbBZFjjGgGUA6NLw09EwE0CqkOc4q9oUmW1yo/edit?usp=sharing"",""อุทัยธานี!I415"")"),0)</f>
        <v>0</v>
      </c>
      <c r="J520" s="187">
        <f ca="1">IFERROR(__xludf.DUMMYFUNCTION("IMPORTRANGE(""https://docs.google.com/spreadsheets/d/11923uPwbBZFjjGgGUA6NLw09EwE0CqkOc4q9oUmW1yo/edit?usp=sharing"",""อุทัยธานี!J415"")"),0)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IFERROR(__xludf.DUMMYFUNCTION("IMPORTRANGE(""https://docs.google.com/spreadsheets/d/11923uPwbBZFjjGgGUA6NLw09EwE0CqkOc4q9oUmW1yo/edit?usp=sharing"",""อุทัยธานี!I416"")"),0)</f>
        <v>0</v>
      </c>
      <c r="J521" s="187">
        <f ca="1">IFERROR(__xludf.DUMMYFUNCTION("IMPORTRANGE(""https://docs.google.com/spreadsheets/d/11923uPwbBZFjjGgGUA6NLw09EwE0CqkOc4q9oUmW1yo/edit?usp=sharing"",""อุทัยธานี!J416"")"),0)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IFERROR(__xludf.DUMMYFUNCTION("IMPORTRANGE(""https://docs.google.com/spreadsheets/d/11923uPwbBZFjjGgGUA6NLw09EwE0CqkOc4q9oUmW1yo/edit?usp=sharing"",""อุทัยธานี!I417"")"),0)</f>
        <v>0</v>
      </c>
      <c r="J522" s="187">
        <f ca="1">IFERROR(__xludf.DUMMYFUNCTION("IMPORTRANGE(""https://docs.google.com/spreadsheets/d/11923uPwbBZFjjGgGUA6NLw09EwE0CqkOc4q9oUmW1yo/edit?usp=sharing"",""อุทัยธานี!J417"")"),0)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IFERROR(__xludf.DUMMYFUNCTION("IMPORTRANGE(""https://docs.google.com/spreadsheets/d/11923uPwbBZFjjGgGUA6NLw09EwE0CqkOc4q9oUmW1yo/edit?usp=sharing"",""อุทัยธานี!I418"")"),0)</f>
        <v>0</v>
      </c>
      <c r="J523" s="187">
        <f ca="1">IFERROR(__xludf.DUMMYFUNCTION("IMPORTRANGE(""https://docs.google.com/spreadsheets/d/11923uPwbBZFjjGgGUA6NLw09EwE0CqkOc4q9oUmW1yo/edit?usp=sharing"",""อุทัยธานี!J418"")"),843)</f>
        <v>843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IFERROR(__xludf.DUMMYFUNCTION("IMPORTRANGE(""https://docs.google.com/spreadsheets/d/11923uPwbBZFjjGgGUA6NLw09EwE0CqkOc4q9oUmW1yo/edit?usp=sharing"",""อุทัยธานี!I419"")"),0)</f>
        <v>0</v>
      </c>
      <c r="J524" s="187">
        <f ca="1">IFERROR(__xludf.DUMMYFUNCTION("IMPORTRANGE(""https://docs.google.com/spreadsheets/d/11923uPwbBZFjjGgGUA6NLw09EwE0CqkOc4q9oUmW1yo/edit?usp=sharing"",""อุทัยธานี!J419"")"),80)</f>
        <v>80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IFERROR(__xludf.DUMMYFUNCTION("IMPORTRANGE(""https://docs.google.com/spreadsheets/d/11923uPwbBZFjjGgGUA6NLw09EwE0CqkOc4q9oUmW1yo/edit?usp=sharing"",""อุทัยธานี!I420"")"),843)</f>
        <v>843</v>
      </c>
      <c r="J525" s="284">
        <f ca="1">IFERROR(__xludf.DUMMYFUNCTION("IMPORTRANGE(""https://docs.google.com/spreadsheets/d/11923uPwbBZFjjGgGUA6NLw09EwE0CqkOc4q9oUmW1yo/edit?usp=sharing"",""อุทัยธานี!J420"")"),843)</f>
        <v>843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IFERROR(__xludf.DUMMYFUNCTION("IMPORTRANGE(""https://docs.google.com/spreadsheets/d/11923uPwbBZFjjGgGUA6NLw09EwE0CqkOc4q9oUmW1yo/edit?usp=sharing"",""อุทัยธานี!I421"")"),80)</f>
        <v>80</v>
      </c>
      <c r="J526" s="284">
        <f ca="1">IFERROR(__xludf.DUMMYFUNCTION("IMPORTRANGE(""https://docs.google.com/spreadsheets/d/11923uPwbBZFjjGgGUA6NLw09EwE0CqkOc4q9oUmW1yo/edit?usp=sharing"",""อุทัยธานี!J421"")"),80)</f>
        <v>80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IFERROR(__xludf.DUMMYFUNCTION("IMPORTRANGE(""https://docs.google.com/spreadsheets/d/11923uPwbBZFjjGgGUA6NLw09EwE0CqkOc4q9oUmW1yo/edit?usp=sharing"",""อุทัยธานี!I422"")"),0)</f>
        <v>0</v>
      </c>
      <c r="J527" s="197">
        <f ca="1">IFERROR(__xludf.DUMMYFUNCTION("IMPORTRANGE(""https://docs.google.com/spreadsheets/d/11923uPwbBZFjjGgGUA6NLw09EwE0CqkOc4q9oUmW1yo/edit?usp=sharing"",""อุทัยธานี!J422"")"),138)</f>
        <v>138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IFERROR(__xludf.DUMMYFUNCTION("IMPORTRANGE(""https://docs.google.com/spreadsheets/d/11923uPwbBZFjjGgGUA6NLw09EwE0CqkOc4q9oUmW1yo/edit?usp=sharing"",""อุทัยธานี!I423"")"),0)</f>
        <v>0</v>
      </c>
      <c r="J528" s="197">
        <f ca="1">IFERROR(__xludf.DUMMYFUNCTION("IMPORTRANGE(""https://docs.google.com/spreadsheets/d/11923uPwbBZFjjGgGUA6NLw09EwE0CqkOc4q9oUmW1yo/edit?usp=sharing"",""อุทัยธานี!J423"")"),14)</f>
        <v>14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IFERROR(__xludf.DUMMYFUNCTION("IMPORTRANGE(""https://docs.google.com/spreadsheets/d/11923uPwbBZFjjGgGUA6NLw09EwE0CqkOc4q9oUmW1yo/edit?usp=sharing"",""อุทัยธานี!I424"")"),0)</f>
        <v>0</v>
      </c>
      <c r="J529" s="197">
        <f ca="1">IFERROR(__xludf.DUMMYFUNCTION("IMPORTRANGE(""https://docs.google.com/spreadsheets/d/11923uPwbBZFjjGgGUA6NLw09EwE0CqkOc4q9oUmW1yo/edit?usp=sharing"",""อุทัยธานี!J424"")"),705)</f>
        <v>705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IFERROR(__xludf.DUMMYFUNCTION("IMPORTRANGE(""https://docs.google.com/spreadsheets/d/11923uPwbBZFjjGgGUA6NLw09EwE0CqkOc4q9oUmW1yo/edit?usp=sharing"",""อุทัยธานี!I425"")"),0)</f>
        <v>0</v>
      </c>
      <c r="J530" s="197">
        <f ca="1">IFERROR(__xludf.DUMMYFUNCTION("IMPORTRANGE(""https://docs.google.com/spreadsheets/d/11923uPwbBZFjjGgGUA6NLw09EwE0CqkOc4q9oUmW1yo/edit?usp=sharing"",""อุทัยธานี!J425"")"),66)</f>
        <v>66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IFERROR(__xludf.DUMMYFUNCTION("IMPORTRANGE(""https://docs.google.com/spreadsheets/d/11923uPwbBZFjjGgGUA6NLw09EwE0CqkOc4q9oUmW1yo/edit?usp=sharing"",""อุทัยธานี!I426"")"),0)</f>
        <v>0</v>
      </c>
      <c r="J531" s="197">
        <f ca="1">IFERROR(__xludf.DUMMYFUNCTION("IMPORTRANGE(""https://docs.google.com/spreadsheets/d/11923uPwbBZFjjGgGUA6NLw09EwE0CqkOc4q9oUmW1yo/edit?usp=sharing"",""อุทัยธานี!J426"")"),0)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IFERROR(__xludf.DUMMYFUNCTION("IMPORTRANGE(""https://docs.google.com/spreadsheets/d/11923uPwbBZFjjGgGUA6NLw09EwE0CqkOc4q9oUmW1yo/edit?usp=sharing"",""อุทัยธานี!I427"")"),0)</f>
        <v>0</v>
      </c>
      <c r="J532" s="466">
        <f ca="1">IFERROR(__xludf.DUMMYFUNCTION("IMPORTRANGE(""https://docs.google.com/spreadsheets/d/11923uPwbBZFjjGgGUA6NLw09EwE0CqkOc4q9oUmW1yo/edit?usp=sharing"",""อุทัยธานี!J427"")"),0)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IFERROR(__xludf.DUMMYFUNCTION("IMPORTRANGE(""https://docs.google.com/spreadsheets/d/11923uPwbBZFjjGgGUA6NLw09EwE0CqkOc4q9oUmW1yo/edit?usp=sharing"",""อุทัยธานี!I428"")"),24)</f>
        <v>24</v>
      </c>
      <c r="J533" s="409">
        <f ca="1">IFERROR(__xludf.DUMMYFUNCTION("IMPORTRANGE(""https://docs.google.com/spreadsheets/d/11923uPwbBZFjjGgGUA6NLw09EwE0CqkOc4q9oUmW1yo/edit?usp=sharing"",""อุทัยธานี!J428"")"),24)</f>
        <v>24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IFERROR(__xludf.DUMMYFUNCTION("IMPORTRANGE(""https://docs.google.com/spreadsheets/d/11923uPwbBZFjjGgGUA6NLw09EwE0CqkOc4q9oUmW1yo/edit?usp=sharing"",""อุทัยธานี!L428"")"),36040)</f>
        <v>36040</v>
      </c>
      <c r="M533" s="411"/>
      <c r="N533" s="411">
        <f ca="1">IFERROR(__xludf.DUMMYFUNCTION("IMPORTRANGE(""https://docs.google.com/spreadsheets/d/11923uPwbBZFjjGgGUA6NLw09EwE0CqkOc4q9oUmW1yo/edit?usp=sharing"",""อุทัยธานี!M428"")"),30290)</f>
        <v>30290</v>
      </c>
      <c r="O533" s="411">
        <f t="shared" ref="O533:O537" ca="1" si="118">+IF(L533&gt;0,N533*100/L533,0)</f>
        <v>84.04550499445061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IFERROR(__xludf.DUMMYFUNCTION("IMPORTRANGE(""https://docs.google.com/spreadsheets/d/11923uPwbBZFjjGgGUA6NLw09EwE0CqkOc4q9oUmW1yo/edit?usp=sharing"",""อุทัยธานี!L429"")"),0)</f>
        <v>0</v>
      </c>
      <c r="M534" s="164"/>
      <c r="N534" s="168">
        <f ca="1">IFERROR(__xludf.DUMMYFUNCTION("IMPORTRANGE(""https://docs.google.com/spreadsheets/d/11923uPwbBZFjjGgGUA6NLw09EwE0CqkOc4q9oUmW1yo/edit?usp=sharing"",""อุทัยธานี!M429"")"),0)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IFERROR(__xludf.DUMMYFUNCTION("IMPORTRANGE(""https://docs.google.com/spreadsheets/d/11923uPwbBZFjjGgGUA6NLw09EwE0CqkOc4q9oUmW1yo/edit?usp=sharing"",""อุทัยธานี!L430"")"),36040)</f>
        <v>36040</v>
      </c>
      <c r="M535" s="165"/>
      <c r="N535" s="168">
        <f ca="1">IFERROR(__xludf.DUMMYFUNCTION("IMPORTRANGE(""https://docs.google.com/spreadsheets/d/11923uPwbBZFjjGgGUA6NLw09EwE0CqkOc4q9oUmW1yo/edit?usp=sharing"",""อุทัยธานี!M430"")"),30290)</f>
        <v>30290</v>
      </c>
      <c r="O535" s="168">
        <f t="shared" ca="1" si="118"/>
        <v>84.04550499445061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IFERROR(__xludf.DUMMYFUNCTION("IMPORTRANGE(""https://docs.google.com/spreadsheets/d/11923uPwbBZFjjGgGUA6NLw09EwE0CqkOc4q9oUmW1yo/edit?usp=sharing"",""อุทัยธานี!L431"")"),0)</f>
        <v>0</v>
      </c>
      <c r="M536" s="168"/>
      <c r="N536" s="168">
        <f ca="1">IFERROR(__xludf.DUMMYFUNCTION("IMPORTRANGE(""https://docs.google.com/spreadsheets/d/11923uPwbBZFjjGgGUA6NLw09EwE0CqkOc4q9oUmW1yo/edit?usp=sharing"",""อุทัยธานี!M431"")"),0)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IFERROR(__xludf.DUMMYFUNCTION("IMPORTRANGE(""https://docs.google.com/spreadsheets/d/11923uPwbBZFjjGgGUA6NLw09EwE0CqkOc4q9oUmW1yo/edit?usp=sharing"",""อุทัยธานี!L432"")"),36040)</f>
        <v>36040</v>
      </c>
      <c r="M537" s="168"/>
      <c r="N537" s="168">
        <f ca="1">IFERROR(__xludf.DUMMYFUNCTION("IMPORTRANGE(""https://docs.google.com/spreadsheets/d/11923uPwbBZFjjGgGUA6NLw09EwE0CqkOc4q9oUmW1yo/edit?usp=sharing"",""อุทัยธานี!M432"")"),30290)</f>
        <v>30290</v>
      </c>
      <c r="O537" s="168">
        <f t="shared" ca="1" si="118"/>
        <v>84.04550499445061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IFERROR(__xludf.DUMMYFUNCTION("IMPORTRANGE(""https://docs.google.com/spreadsheets/d/11923uPwbBZFjjGgGUA6NLw09EwE0CqkOc4q9oUmW1yo/edit?usp=sharing"",""อุทัยธานี!M433"")"),20440)</f>
        <v>20440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IFERROR(__xludf.DUMMYFUNCTION("IMPORTRANGE(""https://docs.google.com/spreadsheets/d/11923uPwbBZFjjGgGUA6NLw09EwE0CqkOc4q9oUmW1yo/edit?usp=sharing"",""อุทัยธานี!M434"")"),0)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IFERROR(__xludf.DUMMYFUNCTION("IMPORTRANGE(""https://docs.google.com/spreadsheets/d/11923uPwbBZFjjGgGUA6NLw09EwE0CqkOc4q9oUmW1yo/edit?usp=sharing"",""อุทัยธานี!M435"")"),0)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IFERROR(__xludf.DUMMYFUNCTION("IMPORTRANGE(""https://docs.google.com/spreadsheets/d/11923uPwbBZFjjGgGUA6NLw09EwE0CqkOc4q9oUmW1yo/edit?usp=sharing"",""อุทัยธานี!M436"")"),9850)</f>
        <v>9850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IFERROR(__xludf.DUMMYFUNCTION("IMPORTRANGE(""https://docs.google.com/spreadsheets/d/11923uPwbBZFjjGgGUA6NLw09EwE0CqkOc4q9oUmW1yo/edit?usp=sharing"",""อุทัยธานี!J438"")"),0)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IFERROR(__xludf.DUMMYFUNCTION("IMPORTRANGE(""https://docs.google.com/spreadsheets/d/11923uPwbBZFjjGgGUA6NLw09EwE0CqkOc4q9oUmW1yo/edit?usp=sharing"",""อุทัยธานี!J439"")"),1)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IFERROR(__xludf.DUMMYFUNCTION("IMPORTRANGE(""https://docs.google.com/spreadsheets/d/11923uPwbBZFjjGgGUA6NLw09EwE0CqkOc4q9oUmW1yo/edit?usp=sharing"",""อุทัยธานี!J440"")"),1)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IFERROR(__xludf.DUMMYFUNCTION("IMPORTRANGE(""https://docs.google.com/spreadsheets/d/11923uPwbBZFjjGgGUA6NLw09EwE0CqkOc4q9oUmW1yo/edit?usp=sharing"",""อุทัยธานี!J441"")"),1)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IFERROR(__xludf.DUMMYFUNCTION("IMPORTRANGE(""https://docs.google.com/spreadsheets/d/11923uPwbBZFjjGgGUA6NLw09EwE0CqkOc4q9oUmW1yo/edit?usp=sharing"",""อุทัยธานี!I442"")"),24)</f>
        <v>24</v>
      </c>
      <c r="J547" s="188">
        <f ca="1">IFERROR(__xludf.DUMMYFUNCTION("IMPORTRANGE(""https://docs.google.com/spreadsheets/d/11923uPwbBZFjjGgGUA6NLw09EwE0CqkOc4q9oUmW1yo/edit?usp=sharing"",""อุทัยธานี!J442"")"),24)</f>
        <v>24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IFERROR(__xludf.DUMMYFUNCTION("IMPORTRANGE(""https://docs.google.com/spreadsheets/d/11923uPwbBZFjjGgGUA6NLw09EwE0CqkOc4q9oUmW1yo/edit?usp=sharing"",""อุทัยธานี!J166"")"),0)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IFERROR(__xludf.DUMMYFUNCTION("IMPORTRANGE(""https://docs.google.com/spreadsheets/d/11923uPwbBZFjjGgGUA6NLw09EwE0CqkOc4q9oUmW1yo/edit?usp=sharing"",""อุทัยธานี!J444"")"),0)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IFERROR(__xludf.DUMMYFUNCTION("IMPORTRANGE(""https://docs.google.com/spreadsheets/d/11923uPwbBZFjjGgGUA6NLw09EwE0CqkOc4q9oUmW1yo/edit?usp=sharing"",""อุทัยธานี!J445"")"),0)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IFERROR(__xludf.DUMMYFUNCTION("IMPORTRANGE(""https://docs.google.com/spreadsheets/d/11923uPwbBZFjjGgGUA6NLw09EwE0CqkOc4q9oUmW1yo/edit?usp=sharing"",""อุทัยธานี!I446"")"),0)</f>
        <v>0</v>
      </c>
      <c r="J551" s="409">
        <f ca="1">IFERROR(__xludf.DUMMYFUNCTION("IMPORTRANGE(""https://docs.google.com/spreadsheets/d/11923uPwbBZFjjGgGUA6NLw09EwE0CqkOc4q9oUmW1yo/edit?usp=sharing"",""อุทัยธานี!J446"")"),0)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IFERROR(__xludf.DUMMYFUNCTION("IMPORTRANGE(""https://docs.google.com/spreadsheets/d/11923uPwbBZFjjGgGUA6NLw09EwE0CqkOc4q9oUmW1yo/edit?usp=sharing"",""อุทัยธานี!L446"")"),0)</f>
        <v>0</v>
      </c>
      <c r="M551" s="411"/>
      <c r="N551" s="411">
        <f ca="1">IFERROR(__xludf.DUMMYFUNCTION("IMPORTRANGE(""https://docs.google.com/spreadsheets/d/11923uPwbBZFjjGgGUA6NLw09EwE0CqkOc4q9oUmW1yo/edit?usp=sharing"",""อุทัยธานี!M446"")"),0)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IFERROR(__xludf.DUMMYFUNCTION("IMPORTRANGE(""https://docs.google.com/spreadsheets/d/11923uPwbBZFjjGgGUA6NLw09EwE0CqkOc4q9oUmW1yo/edit?usp=sharing"",""อุทัยธานี!L447"")"),0)</f>
        <v>0</v>
      </c>
      <c r="M552" s="164"/>
      <c r="N552" s="168">
        <f ca="1">IFERROR(__xludf.DUMMYFUNCTION("IMPORTRANGE(""https://docs.google.com/spreadsheets/d/11923uPwbBZFjjGgGUA6NLw09EwE0CqkOc4q9oUmW1yo/edit?usp=sharing"",""อุทัยธานี!M447"")"),0)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IFERROR(__xludf.DUMMYFUNCTION("IMPORTRANGE(""https://docs.google.com/spreadsheets/d/11923uPwbBZFjjGgGUA6NLw09EwE0CqkOc4q9oUmW1yo/edit?usp=sharing"",""อุทัยธานี!L448"")"),0)</f>
        <v>0</v>
      </c>
      <c r="M553" s="165"/>
      <c r="N553" s="168">
        <f ca="1">IFERROR(__xludf.DUMMYFUNCTION("IMPORTRANGE(""https://docs.google.com/spreadsheets/d/11923uPwbBZFjjGgGUA6NLw09EwE0CqkOc4q9oUmW1yo/edit?usp=sharing"",""อุทัยธานี!M448"")"),0)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IFERROR(__xludf.DUMMYFUNCTION("IMPORTRANGE(""https://docs.google.com/spreadsheets/d/11923uPwbBZFjjGgGUA6NLw09EwE0CqkOc4q9oUmW1yo/edit?usp=sharing"",""อุทัยธานี!L449"")"),0)</f>
        <v>0</v>
      </c>
      <c r="M554" s="168"/>
      <c r="N554" s="168">
        <f ca="1">IFERROR(__xludf.DUMMYFUNCTION("IMPORTRANGE(""https://docs.google.com/spreadsheets/d/11923uPwbBZFjjGgGUA6NLw09EwE0CqkOc4q9oUmW1yo/edit?usp=sharing"",""อุทัยธานี!M449"")"),0)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IFERROR(__xludf.DUMMYFUNCTION("IMPORTRANGE(""https://docs.google.com/spreadsheets/d/11923uPwbBZFjjGgGUA6NLw09EwE0CqkOc4q9oUmW1yo/edit?usp=sharing"",""อุทัยธานี!L450"")"),0)</f>
        <v>0</v>
      </c>
      <c r="M555" s="168"/>
      <c r="N555" s="168">
        <f ca="1">IFERROR(__xludf.DUMMYFUNCTION("IMPORTRANGE(""https://docs.google.com/spreadsheets/d/11923uPwbBZFjjGgGUA6NLw09EwE0CqkOc4q9oUmW1yo/edit?usp=sharing"",""อุทัยธานี!M450"")"),0)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IFERROR(__xludf.DUMMYFUNCTION("IMPORTRANGE(""https://docs.google.com/spreadsheets/d/11923uPwbBZFjjGgGUA6NLw09EwE0CqkOc4q9oUmW1yo/edit?usp=sharing"",""อุทัยธานี!M451"")"),0)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IFERROR(__xludf.DUMMYFUNCTION("IMPORTRANGE(""https://docs.google.com/spreadsheets/d/11923uPwbBZFjjGgGUA6NLw09EwE0CqkOc4q9oUmW1yo/edit?usp=sharing"",""อุทัยธานี!M452"")"),0)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IFERROR(__xludf.DUMMYFUNCTION("IMPORTRANGE(""https://docs.google.com/spreadsheets/d/11923uPwbBZFjjGgGUA6NLw09EwE0CqkOc4q9oUmW1yo/edit?usp=sharing"",""อุทัยธานี!M453"")"),0)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IFERROR(__xludf.DUMMYFUNCTION("IMPORTRANGE(""https://docs.google.com/spreadsheets/d/11923uPwbBZFjjGgGUA6NLw09EwE0CqkOc4q9oUmW1yo/edit?usp=sharing"",""อุทัยธานี!M454"")"),0)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IFERROR(__xludf.DUMMYFUNCTION("IMPORTRANGE(""https://docs.google.com/spreadsheets/d/11923uPwbBZFjjGgGUA6NLw09EwE0CqkOc4q9oUmW1yo/edit?usp=sharing"",""อุทัยธานี!I455"")"),0)</f>
        <v>0</v>
      </c>
      <c r="J560" s="162">
        <f ca="1">IFERROR(__xludf.DUMMYFUNCTION("IMPORTRANGE(""https://docs.google.com/spreadsheets/d/11923uPwbBZFjjGgGUA6NLw09EwE0CqkOc4q9oUmW1yo/edit?usp=sharing"",""อุทัยธานี!J455"")"),0)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IFERROR(__xludf.DUMMYFUNCTION("IMPORTRANGE(""https://docs.google.com/spreadsheets/d/11923uPwbBZFjjGgGUA6NLw09EwE0CqkOc4q9oUmW1yo/edit?usp=sharing"",""อุทัยธานี!I456"")"),0)</f>
        <v>0</v>
      </c>
      <c r="J561" s="203">
        <f ca="1">IFERROR(__xludf.DUMMYFUNCTION("IMPORTRANGE(""https://docs.google.com/spreadsheets/d/11923uPwbBZFjjGgGUA6NLw09EwE0CqkOc4q9oUmW1yo/edit?usp=sharing"",""อุทัยธานี!J456"")"),0)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IFERROR(__xludf.DUMMYFUNCTION("IMPORTRANGE(""https://docs.google.com/spreadsheets/d/11923uPwbBZFjjGgGUA6NLw09EwE0CqkOc4q9oUmW1yo/edit?usp=sharing"",""อุทัยธานี!I459"")"),1550)</f>
        <v>1550</v>
      </c>
      <c r="J564" s="370">
        <f ca="1">IFERROR(__xludf.DUMMYFUNCTION("IMPORTRANGE(""https://docs.google.com/spreadsheets/d/11923uPwbBZFjjGgGUA6NLw09EwE0CqkOc4q9oUmW1yo/edit?usp=sharing"",""อุทัยธานี!J459"")"),6029)</f>
        <v>6029</v>
      </c>
      <c r="K564" s="371">
        <f ca="1">IF(I564&gt;0,J564*100/I564,0)</f>
        <v>388.96774193548384</v>
      </c>
      <c r="L564" s="372">
        <f ca="1">IFERROR(__xludf.DUMMYFUNCTION("IMPORTRANGE(""https://docs.google.com/spreadsheets/d/11923uPwbBZFjjGgGUA6NLw09EwE0CqkOc4q9oUmW1yo/edit?usp=sharing"",""อุทัยธานี!L459"")"),136880)</f>
        <v>136880</v>
      </c>
      <c r="M564" s="372"/>
      <c r="N564" s="372">
        <f ca="1">IFERROR(__xludf.DUMMYFUNCTION("IMPORTRANGE(""https://docs.google.com/spreadsheets/d/11923uPwbBZFjjGgGUA6NLw09EwE0CqkOc4q9oUmW1yo/edit?usp=sharing"",""อุทัยธานี!M459"")"),96407.33)</f>
        <v>96407.33</v>
      </c>
      <c r="O564" s="372">
        <f t="shared" ref="O564:O568" ca="1" si="122">+IF(L564&gt;0,N564*100/L564,0)</f>
        <v>70.432006136762126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IFERROR(__xludf.DUMMYFUNCTION("IMPORTRANGE(""https://docs.google.com/spreadsheets/d/11923uPwbBZFjjGgGUA6NLw09EwE0CqkOc4q9oUmW1yo/edit?usp=sharing"",""อุทัยธานี!L460"")"),0)</f>
        <v>0</v>
      </c>
      <c r="M565" s="164"/>
      <c r="N565" s="168">
        <f ca="1">IFERROR(__xludf.DUMMYFUNCTION("IMPORTRANGE(""https://docs.google.com/spreadsheets/d/11923uPwbBZFjjGgGUA6NLw09EwE0CqkOc4q9oUmW1yo/edit?usp=sharing"",""อุทัยธานี!M460"")"),0)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IFERROR(__xludf.DUMMYFUNCTION("IMPORTRANGE(""https://docs.google.com/spreadsheets/d/11923uPwbBZFjjGgGUA6NLw09EwE0CqkOc4q9oUmW1yo/edit?usp=sharing"",""อุทัยธานี!L461"")"),136880)</f>
        <v>136880</v>
      </c>
      <c r="M566" s="165"/>
      <c r="N566" s="168">
        <f ca="1">IFERROR(__xludf.DUMMYFUNCTION("IMPORTRANGE(""https://docs.google.com/spreadsheets/d/11923uPwbBZFjjGgGUA6NLw09EwE0CqkOc4q9oUmW1yo/edit?usp=sharing"",""อุทัยธานี!M461"")"),96407.33)</f>
        <v>96407.33</v>
      </c>
      <c r="O566" s="168">
        <f t="shared" ca="1" si="122"/>
        <v>70.432006136762126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IFERROR(__xludf.DUMMYFUNCTION("IMPORTRANGE(""https://docs.google.com/spreadsheets/d/11923uPwbBZFjjGgGUA6NLw09EwE0CqkOc4q9oUmW1yo/edit?usp=sharing"",""อุทัยธานี!L462"")"),0)</f>
        <v>0</v>
      </c>
      <c r="M567" s="168"/>
      <c r="N567" s="168">
        <f ca="1">IFERROR(__xludf.DUMMYFUNCTION("IMPORTRANGE(""https://docs.google.com/spreadsheets/d/11923uPwbBZFjjGgGUA6NLw09EwE0CqkOc4q9oUmW1yo/edit?usp=sharing"",""อุทัยธานี!M462"")"),0)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IFERROR(__xludf.DUMMYFUNCTION("IMPORTRANGE(""https://docs.google.com/spreadsheets/d/11923uPwbBZFjjGgGUA6NLw09EwE0CqkOc4q9oUmW1yo/edit?usp=sharing"",""อุทัยธานี!L463"")"),136880)</f>
        <v>136880</v>
      </c>
      <c r="M568" s="168"/>
      <c r="N568" s="168">
        <f ca="1">IFERROR(__xludf.DUMMYFUNCTION("IMPORTRANGE(""https://docs.google.com/spreadsheets/d/11923uPwbBZFjjGgGUA6NLw09EwE0CqkOc4q9oUmW1yo/edit?usp=sharing"",""อุทัยธานี!M463"")"),96407.33)</f>
        <v>96407.33</v>
      </c>
      <c r="O568" s="168">
        <f t="shared" ca="1" si="122"/>
        <v>70.432006136762126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IFERROR(__xludf.DUMMYFUNCTION("IMPORTRANGE(""https://docs.google.com/spreadsheets/d/11923uPwbBZFjjGgGUA6NLw09EwE0CqkOc4q9oUmW1yo/edit?usp=sharing"",""อุทัยธานี!M464"")"),0)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IFERROR(__xludf.DUMMYFUNCTION("IMPORTRANGE(""https://docs.google.com/spreadsheets/d/11923uPwbBZFjjGgGUA6NLw09EwE0CqkOc4q9oUmW1yo/edit?usp=sharing"",""อุทัยธานี!M465"")"),0)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IFERROR(__xludf.DUMMYFUNCTION("IMPORTRANGE(""https://docs.google.com/spreadsheets/d/11923uPwbBZFjjGgGUA6NLw09EwE0CqkOc4q9oUmW1yo/edit?usp=sharing"",""อุทัยธานี!M466"")"),69765.33)</f>
        <v>69765.33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IFERROR(__xludf.DUMMYFUNCTION("IMPORTRANGE(""https://docs.google.com/spreadsheets/d/11923uPwbBZFjjGgGUA6NLw09EwE0CqkOc4q9oUmW1yo/edit?usp=sharing"",""อุทัยธานี!M467"")"),26642)</f>
        <v>26642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IFERROR(__xludf.DUMMYFUNCTION("IMPORTRANGE(""https://docs.google.com/spreadsheets/d/11923uPwbBZFjjGgGUA6NLw09EwE0CqkOc4q9oUmW1yo/edit?usp=sharing"",""อุทัยธานี!I468"")"),1550)</f>
        <v>1550</v>
      </c>
      <c r="J573" s="420">
        <f ca="1">IFERROR(__xludf.DUMMYFUNCTION("IMPORTRANGE(""https://docs.google.com/spreadsheets/d/11923uPwbBZFjjGgGUA6NLw09EwE0CqkOc4q9oUmW1yo/edit?usp=sharing"",""อุทัยธานี!J468"")"),6029)</f>
        <v>6029</v>
      </c>
      <c r="K573" s="201">
        <f ca="1">IF(I573&gt;0,J573*100/I573,0)</f>
        <v>388.96774193548384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IFERROR(__xludf.DUMMYFUNCTION("IMPORTRANGE(""https://docs.google.com/spreadsheets/d/11923uPwbBZFjjGgGUA6NLw09EwE0CqkOc4q9oUmW1yo/edit?usp=sharing"",""อุทัยธานี!I470"")"),0)</f>
        <v>0</v>
      </c>
      <c r="J575" s="197">
        <f ca="1">IFERROR(__xludf.DUMMYFUNCTION("IMPORTRANGE(""https://docs.google.com/spreadsheets/d/11923uPwbBZFjjGgGUA6NLw09EwE0CqkOc4q9oUmW1yo/edit?usp=sharing"",""อุทัยธานี!J470"")"),5)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IFERROR(__xludf.DUMMYFUNCTION("IMPORTRANGE(""https://docs.google.com/spreadsheets/d/11923uPwbBZFjjGgGUA6NLw09EwE0CqkOc4q9oUmW1yo/edit?usp=sharing"",""อุทัยธานี!I471"")"),0)</f>
        <v>0</v>
      </c>
      <c r="J576" s="197">
        <f ca="1">IFERROR(__xludf.DUMMYFUNCTION("IMPORTRANGE(""https://docs.google.com/spreadsheets/d/11923uPwbBZFjjGgGUA6NLw09EwE0CqkOc4q9oUmW1yo/edit?usp=sharing"",""อุทัยธานี!J471"")"),633)</f>
        <v>633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IFERROR(__xludf.DUMMYFUNCTION("IMPORTRANGE(""https://docs.google.com/spreadsheets/d/11923uPwbBZFjjGgGUA6NLw09EwE0CqkOc4q9oUmW1yo/edit?usp=sharing"",""อุทัยธานี!I472"")"),0)</f>
        <v>0</v>
      </c>
      <c r="J577" s="188">
        <f ca="1">IFERROR(__xludf.DUMMYFUNCTION("IMPORTRANGE(""https://docs.google.com/spreadsheets/d/11923uPwbBZFjjGgGUA6NLw09EwE0CqkOc4q9oUmW1yo/edit?usp=sharing"",""อุทัยธานี!J472"")"),5396)</f>
        <v>5396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IFERROR(__xludf.DUMMYFUNCTION("IMPORTRANGE(""https://docs.google.com/spreadsheets/d/11923uPwbBZFjjGgGUA6NLw09EwE0CqkOc4q9oUmW1yo/edit?usp=sharing"",""อุทัยธานี!I473"")"),0)</f>
        <v>0</v>
      </c>
      <c r="J578" s="197">
        <f ca="1">IFERROR(__xludf.DUMMYFUNCTION("IMPORTRANGE(""https://docs.google.com/spreadsheets/d/11923uPwbBZFjjGgGUA6NLw09EwE0CqkOc4q9oUmW1yo/edit?usp=sharing"",""อุทัยธานี!J473"")"),0)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IFERROR(__xludf.DUMMYFUNCTION("IMPORTRANGE(""https://docs.google.com/spreadsheets/d/11923uPwbBZFjjGgGUA6NLw09EwE0CqkOc4q9oUmW1yo/edit?usp=sharing"",""อุทัยธานี!I474"")"),0)</f>
        <v>0</v>
      </c>
      <c r="J579" s="197">
        <f ca="1">IFERROR(__xludf.DUMMYFUNCTION("IMPORTRANGE(""https://docs.google.com/spreadsheets/d/11923uPwbBZFjjGgGUA6NLw09EwE0CqkOc4q9oUmW1yo/edit?usp=sharing"",""อุทัยธานี!J474"")"),0)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IFERROR(__xludf.DUMMYFUNCTION("IMPORTRANGE(""https://docs.google.com/spreadsheets/d/11923uPwbBZFjjGgGUA6NLw09EwE0CqkOc4q9oUmW1yo/edit?usp=sharing"",""อุทัยธานี!I475"")"),7)</f>
        <v>7</v>
      </c>
      <c r="J580" s="370">
        <f ca="1">IFERROR(__xludf.DUMMYFUNCTION("IMPORTRANGE(""https://docs.google.com/spreadsheets/d/11923uPwbBZFjjGgGUA6NLw09EwE0CqkOc4q9oUmW1yo/edit?usp=sharing"",""อุทัยธานี!J475"")"),9)</f>
        <v>9</v>
      </c>
      <c r="K580" s="371">
        <f ca="1">IF(I580&gt;0,J580*100/I580,0)</f>
        <v>128.57142857142858</v>
      </c>
      <c r="L580" s="372">
        <f ca="1">IFERROR(__xludf.DUMMYFUNCTION("IMPORTRANGE(""https://docs.google.com/spreadsheets/d/11923uPwbBZFjjGgGUA6NLw09EwE0CqkOc4q9oUmW1yo/edit?usp=sharing"",""อุทัยธานี!L475"")"),111857)</f>
        <v>111857</v>
      </c>
      <c r="M580" s="372"/>
      <c r="N580" s="372">
        <f ca="1">IFERROR(__xludf.DUMMYFUNCTION("IMPORTRANGE(""https://docs.google.com/spreadsheets/d/11923uPwbBZFjjGgGUA6NLw09EwE0CqkOc4q9oUmW1yo/edit?usp=sharing"",""อุทัยธานี!M475"")"),16070)</f>
        <v>16070</v>
      </c>
      <c r="O580" s="372">
        <f t="shared" ref="O580:O584" ca="1" si="124">+IF(L580&gt;0,N580*100/L580,0)</f>
        <v>14.366557300839464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IFERROR(__xludf.DUMMYFUNCTION("IMPORTRANGE(""https://docs.google.com/spreadsheets/d/11923uPwbBZFjjGgGUA6NLw09EwE0CqkOc4q9oUmW1yo/edit?usp=sharing"",""อุทัยธานี!L476"")"),0)</f>
        <v>0</v>
      </c>
      <c r="M581" s="164"/>
      <c r="N581" s="168">
        <f ca="1">IFERROR(__xludf.DUMMYFUNCTION("IMPORTRANGE(""https://docs.google.com/spreadsheets/d/11923uPwbBZFjjGgGUA6NLw09EwE0CqkOc4q9oUmW1yo/edit?usp=sharing"",""อุทัยธานี!M476"")"),0)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IFERROR(__xludf.DUMMYFUNCTION("IMPORTRANGE(""https://docs.google.com/spreadsheets/d/11923uPwbBZFjjGgGUA6NLw09EwE0CqkOc4q9oUmW1yo/edit?usp=sharing"",""อุทัยธานี!L477"")"),111857)</f>
        <v>111857</v>
      </c>
      <c r="M582" s="165"/>
      <c r="N582" s="168">
        <f ca="1">IFERROR(__xludf.DUMMYFUNCTION("IMPORTRANGE(""https://docs.google.com/spreadsheets/d/11923uPwbBZFjjGgGUA6NLw09EwE0CqkOc4q9oUmW1yo/edit?usp=sharing"",""อุทัยธานี!M477"")"),16070)</f>
        <v>16070</v>
      </c>
      <c r="O582" s="168">
        <f t="shared" ca="1" si="124"/>
        <v>14.366557300839464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IFERROR(__xludf.DUMMYFUNCTION("IMPORTRANGE(""https://docs.google.com/spreadsheets/d/11923uPwbBZFjjGgGUA6NLw09EwE0CqkOc4q9oUmW1yo/edit?usp=sharing"",""อุทัยธานี!L478"")"),0)</f>
        <v>0</v>
      </c>
      <c r="M583" s="168"/>
      <c r="N583" s="168">
        <f ca="1">IFERROR(__xludf.DUMMYFUNCTION("IMPORTRANGE(""https://docs.google.com/spreadsheets/d/11923uPwbBZFjjGgGUA6NLw09EwE0CqkOc4q9oUmW1yo/edit?usp=sharing"",""อุทัยธานี!M478"")"),0)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IFERROR(__xludf.DUMMYFUNCTION("IMPORTRANGE(""https://docs.google.com/spreadsheets/d/11923uPwbBZFjjGgGUA6NLw09EwE0CqkOc4q9oUmW1yo/edit?usp=sharing"",""อุทัยธานี!L479"")"),111857)</f>
        <v>111857</v>
      </c>
      <c r="M584" s="168"/>
      <c r="N584" s="168">
        <f ca="1">IFERROR(__xludf.DUMMYFUNCTION("IMPORTRANGE(""https://docs.google.com/spreadsheets/d/11923uPwbBZFjjGgGUA6NLw09EwE0CqkOc4q9oUmW1yo/edit?usp=sharing"",""อุทัยธานี!M479"")"),16070)</f>
        <v>16070</v>
      </c>
      <c r="O584" s="168">
        <f t="shared" ca="1" si="124"/>
        <v>14.366557300839464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IFERROR(__xludf.DUMMYFUNCTION("IMPORTRANGE(""https://docs.google.com/spreadsheets/d/11923uPwbBZFjjGgGUA6NLw09EwE0CqkOc4q9oUmW1yo/edit?usp=sharing"",""อุทัยธานี!M480"")"),0)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IFERROR(__xludf.DUMMYFUNCTION("IMPORTRANGE(""https://docs.google.com/spreadsheets/d/11923uPwbBZFjjGgGUA6NLw09EwE0CqkOc4q9oUmW1yo/edit?usp=sharing"",""อุทัยธานี!M481"")"),0)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IFERROR(__xludf.DUMMYFUNCTION("IMPORTRANGE(""https://docs.google.com/spreadsheets/d/11923uPwbBZFjjGgGUA6NLw09EwE0CqkOc4q9oUmW1yo/edit?usp=sharing"",""อุทัยธานี!M482"")"),0)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IFERROR(__xludf.DUMMYFUNCTION("IMPORTRANGE(""https://docs.google.com/spreadsheets/d/11923uPwbBZFjjGgGUA6NLw09EwE0CqkOc4q9oUmW1yo/edit?usp=sharing"",""อุทัยธานี!M483"")"),16070)</f>
        <v>16070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IFERROR(__xludf.DUMMYFUNCTION("IMPORTRANGE(""https://docs.google.com/spreadsheets/d/11923uPwbBZFjjGgGUA6NLw09EwE0CqkOc4q9oUmW1yo/edit?usp=sharing"",""อุทัยธานี!I484"")"),7)</f>
        <v>7</v>
      </c>
      <c r="J589" s="187">
        <f ca="1">IFERROR(__xludf.DUMMYFUNCTION("IMPORTRANGE(""https://docs.google.com/spreadsheets/d/11923uPwbBZFjjGgGUA6NLw09EwE0CqkOc4q9oUmW1yo/edit?usp=sharing"",""อุทัยธานี!J484"")"),8)</f>
        <v>8</v>
      </c>
      <c r="K589" s="163">
        <f t="shared" ref="K589:K596" ca="1" si="125">IF(I589&gt;0,J589*100/I589,0)</f>
        <v>114.28571428571429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IFERROR(__xludf.DUMMYFUNCTION("IMPORTRANGE(""https://docs.google.com/spreadsheets/d/11923uPwbBZFjjGgGUA6NLw09EwE0CqkOc4q9oUmW1yo/edit?usp=sharing"",""อุทัยธานี!I485"")"),0)</f>
        <v>0</v>
      </c>
      <c r="J590" s="187">
        <f ca="1">IFERROR(__xludf.DUMMYFUNCTION("IMPORTRANGE(""https://docs.google.com/spreadsheets/d/11923uPwbBZFjjGgGUA6NLw09EwE0CqkOc4q9oUmW1yo/edit?usp=sharing"",""อุทัยธานี!J485"")"),7.07)</f>
        <v>7.07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IFERROR(__xludf.DUMMYFUNCTION("IMPORTRANGE(""https://docs.google.com/spreadsheets/d/11923uPwbBZFjjGgGUA6NLw09EwE0CqkOc4q9oUmW1yo/edit?usp=sharing"",""อุทัยธานี!I486"")"),7)</f>
        <v>7</v>
      </c>
      <c r="J591" s="187">
        <f ca="1">IFERROR(__xludf.DUMMYFUNCTION("IMPORTRANGE(""https://docs.google.com/spreadsheets/d/11923uPwbBZFjjGgGUA6NLw09EwE0CqkOc4q9oUmW1yo/edit?usp=sharing"",""อุทัยธานี!J486"")"),14)</f>
        <v>14</v>
      </c>
      <c r="K591" s="163">
        <f t="shared" ca="1" si="125"/>
        <v>200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IFERROR(__xludf.DUMMYFUNCTION("IMPORTRANGE(""https://docs.google.com/spreadsheets/d/11923uPwbBZFjjGgGUA6NLw09EwE0CqkOc4q9oUmW1yo/edit?usp=sharing"",""อุทัยธานี!I487"")"),0)</f>
        <v>0</v>
      </c>
      <c r="J592" s="187">
        <f ca="1">IFERROR(__xludf.DUMMYFUNCTION("IMPORTRANGE(""https://docs.google.com/spreadsheets/d/11923uPwbBZFjjGgGUA6NLw09EwE0CqkOc4q9oUmW1yo/edit?usp=sharing"",""อุทัยธานี!J487"")"),13.05)</f>
        <v>13.05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IFERROR(__xludf.DUMMYFUNCTION("IMPORTRANGE(""https://docs.google.com/spreadsheets/d/11923uPwbBZFjjGgGUA6NLw09EwE0CqkOc4q9oUmW1yo/edit?usp=sharing"",""อุทัยธานี!I488"")"),7)</f>
        <v>7</v>
      </c>
      <c r="J593" s="187">
        <f ca="1">IFERROR(__xludf.DUMMYFUNCTION("IMPORTRANGE(""https://docs.google.com/spreadsheets/d/11923uPwbBZFjjGgGUA6NLw09EwE0CqkOc4q9oUmW1yo/edit?usp=sharing"",""อุทัยธานี!J488"")"),4)</f>
        <v>4</v>
      </c>
      <c r="K593" s="163">
        <f t="shared" ca="1" si="125"/>
        <v>57.142857142857146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IFERROR(__xludf.DUMMYFUNCTION("IMPORTRANGE(""https://docs.google.com/spreadsheets/d/11923uPwbBZFjjGgGUA6NLw09EwE0CqkOc4q9oUmW1yo/edit?usp=sharing"",""อุทัยธานี!I489"")"),0)</f>
        <v>0</v>
      </c>
      <c r="J594" s="187">
        <f ca="1">IFERROR(__xludf.DUMMYFUNCTION("IMPORTRANGE(""https://docs.google.com/spreadsheets/d/11923uPwbBZFjjGgGUA6NLw09EwE0CqkOc4q9oUmW1yo/edit?usp=sharing"",""อุทัยธานี!J489"")"),3.07)</f>
        <v>3.07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IFERROR(__xludf.DUMMYFUNCTION("IMPORTRANGE(""https://docs.google.com/spreadsheets/d/11923uPwbBZFjjGgGUA6NLw09EwE0CqkOc4q9oUmW1yo/edit?usp=sharing"",""อุทัยธานี!I490"")"),7)</f>
        <v>7</v>
      </c>
      <c r="J595" s="187">
        <f ca="1">IFERROR(__xludf.DUMMYFUNCTION("IMPORTRANGE(""https://docs.google.com/spreadsheets/d/11923uPwbBZFjjGgGUA6NLw09EwE0CqkOc4q9oUmW1yo/edit?usp=sharing"",""อุทัยธานี!J490"")"),9)</f>
        <v>9</v>
      </c>
      <c r="K595" s="163">
        <f t="shared" ca="1" si="125"/>
        <v>128.57142857142858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IFERROR(__xludf.DUMMYFUNCTION("IMPORTRANGE(""https://docs.google.com/spreadsheets/d/11923uPwbBZFjjGgGUA6NLw09EwE0CqkOc4q9oUmW1yo/edit?usp=sharing"",""อุทัยธานี!I491"")"),0)</f>
        <v>0</v>
      </c>
      <c r="J596" s="241">
        <f ca="1">IFERROR(__xludf.DUMMYFUNCTION("IMPORTRANGE(""https://docs.google.com/spreadsheets/d/11923uPwbBZFjjGgGUA6NLw09EwE0CqkOc4q9oUmW1yo/edit?usp=sharing"",""อุทัยธานี!J491"")"),7.03)</f>
        <v>7.03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IFERROR(__xludf.DUMMYFUNCTION("IMPORTRANGE(""https://docs.google.com/spreadsheets/d/11923uPwbBZFjjGgGUA6NLw09EwE0CqkOc4q9oUmW1yo/edit?usp=sharing"",""อุทัยธานี!I492"")"),50)</f>
        <v>50</v>
      </c>
      <c r="J597" s="488">
        <f ca="1">IFERROR(__xludf.DUMMYFUNCTION("IMPORTRANGE(""https://docs.google.com/spreadsheets/d/11923uPwbBZFjjGgGUA6NLw09EwE0CqkOc4q9oUmW1yo/edit?usp=sharing"",""อุทัยธานี!J492"")"),0)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IFERROR(__xludf.DUMMYFUNCTION("IMPORTRANGE(""https://docs.google.com/spreadsheets/d/11923uPwbBZFjjGgGUA6NLw09EwE0CqkOc4q9oUmW1yo/edit?usp=sharing"",""อุทัยธานี!L492"")"),8550)</f>
        <v>8550</v>
      </c>
      <c r="M597" s="411"/>
      <c r="N597" s="411">
        <f ca="1">IFERROR(__xludf.DUMMYFUNCTION("IMPORTRANGE(""https://docs.google.com/spreadsheets/d/11923uPwbBZFjjGgGUA6NLw09EwE0CqkOc4q9oUmW1yo/edit?usp=sharing"",""อุทัยธานี!M492"")"),5800)</f>
        <v>5800</v>
      </c>
      <c r="O597" s="411">
        <f t="shared" ref="O597:O601" ca="1" si="126">+IF(L597&gt;0,N597*100/L597,0)</f>
        <v>67.836257309941516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IFERROR(__xludf.DUMMYFUNCTION("IMPORTRANGE(""https://docs.google.com/spreadsheets/d/11923uPwbBZFjjGgGUA6NLw09EwE0CqkOc4q9oUmW1yo/edit?usp=sharing"",""อุทัยธานี!L493"")"),0)</f>
        <v>0</v>
      </c>
      <c r="M598" s="164"/>
      <c r="N598" s="168">
        <f ca="1">IFERROR(__xludf.DUMMYFUNCTION("IMPORTRANGE(""https://docs.google.com/spreadsheets/d/11923uPwbBZFjjGgGUA6NLw09EwE0CqkOc4q9oUmW1yo/edit?usp=sharing"",""อุทัยธานี!M493"")"),0)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IFERROR(__xludf.DUMMYFUNCTION("IMPORTRANGE(""https://docs.google.com/spreadsheets/d/11923uPwbBZFjjGgGUA6NLw09EwE0CqkOc4q9oUmW1yo/edit?usp=sharing"",""อุทัยธานี!L494"")"),8550)</f>
        <v>8550</v>
      </c>
      <c r="M599" s="165"/>
      <c r="N599" s="168">
        <f ca="1">IFERROR(__xludf.DUMMYFUNCTION("IMPORTRANGE(""https://docs.google.com/spreadsheets/d/11923uPwbBZFjjGgGUA6NLw09EwE0CqkOc4q9oUmW1yo/edit?usp=sharing"",""อุทัยธานี!M494"")"),5800)</f>
        <v>5800</v>
      </c>
      <c r="O599" s="168">
        <f t="shared" ca="1" si="126"/>
        <v>67.836257309941516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IFERROR(__xludf.DUMMYFUNCTION("IMPORTRANGE(""https://docs.google.com/spreadsheets/d/11923uPwbBZFjjGgGUA6NLw09EwE0CqkOc4q9oUmW1yo/edit?usp=sharing"",""อุทัยธานี!L495"")"),0)</f>
        <v>0</v>
      </c>
      <c r="M600" s="168"/>
      <c r="N600" s="168">
        <f ca="1">IFERROR(__xludf.DUMMYFUNCTION("IMPORTRANGE(""https://docs.google.com/spreadsheets/d/11923uPwbBZFjjGgGUA6NLw09EwE0CqkOc4q9oUmW1yo/edit?usp=sharing"",""อุทัยธานี!M495"")"),0)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IFERROR(__xludf.DUMMYFUNCTION("IMPORTRANGE(""https://docs.google.com/spreadsheets/d/11923uPwbBZFjjGgGUA6NLw09EwE0CqkOc4q9oUmW1yo/edit?usp=sharing"",""อุทัยธานี!L496"")"),8550)</f>
        <v>8550</v>
      </c>
      <c r="M601" s="168"/>
      <c r="N601" s="168">
        <f ca="1">IFERROR(__xludf.DUMMYFUNCTION("IMPORTRANGE(""https://docs.google.com/spreadsheets/d/11923uPwbBZFjjGgGUA6NLw09EwE0CqkOc4q9oUmW1yo/edit?usp=sharing"",""อุทัยธานี!M496"")"),5800)</f>
        <v>5800</v>
      </c>
      <c r="O601" s="168">
        <f t="shared" ca="1" si="126"/>
        <v>67.836257309941516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IFERROR(__xludf.DUMMYFUNCTION("IMPORTRANGE(""https://docs.google.com/spreadsheets/d/11923uPwbBZFjjGgGUA6NLw09EwE0CqkOc4q9oUmW1yo/edit?usp=sharing"",""อุทัยธานี!M497"")"),0)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IFERROR(__xludf.DUMMYFUNCTION("IMPORTRANGE(""https://docs.google.com/spreadsheets/d/11923uPwbBZFjjGgGUA6NLw09EwE0CqkOc4q9oUmW1yo/edit?usp=sharing"",""อุทัยธานี!M498"")"),0)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IFERROR(__xludf.DUMMYFUNCTION("IMPORTRANGE(""https://docs.google.com/spreadsheets/d/11923uPwbBZFjjGgGUA6NLw09EwE0CqkOc4q9oUmW1yo/edit?usp=sharing"",""อุทัยธานี!M499"")"),0)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IFERROR(__xludf.DUMMYFUNCTION("IMPORTRANGE(""https://docs.google.com/spreadsheets/d/11923uPwbBZFjjGgGUA6NLw09EwE0CqkOc4q9oUmW1yo/edit?usp=sharing"",""อุทัยธานี!M500"")"),5800)</f>
        <v>5800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IFERROR(__xludf.DUMMYFUNCTION("IMPORTRANGE(""https://docs.google.com/spreadsheets/d/11923uPwbBZFjjGgGUA6NLw09EwE0CqkOc4q9oUmW1yo/edit?usp=sharing"",""อุทัยธานี!J502"")"),0)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IFERROR(__xludf.DUMMYFUNCTION("IMPORTRANGE(""https://docs.google.com/spreadsheets/d/11923uPwbBZFjjGgGUA6NLw09EwE0CqkOc4q9oUmW1yo/edit?usp=sharing"",""อุทัยธานี!J503"")"),1)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IFERROR(__xludf.DUMMYFUNCTION("IMPORTRANGE(""https://docs.google.com/spreadsheets/d/11923uPwbBZFjjGgGUA6NLw09EwE0CqkOc4q9oUmW1yo/edit?usp=sharing"",""อุทัยธานี!J166"")"),0)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IFERROR(__xludf.DUMMYFUNCTION("IMPORTRANGE(""https://docs.google.com/spreadsheets/d/11923uPwbBZFjjGgGUA6NLw09EwE0CqkOc4q9oUmW1yo/edit?usp=sharing"",""อุทัยธานี!J166"")"),0)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IFERROR(__xludf.DUMMYFUNCTION("IMPORTRANGE(""https://docs.google.com/spreadsheets/d/11923uPwbBZFjjGgGUA6NLw09EwE0CqkOc4q9oUmW1yo/edit?usp=sharing"",""อุทัยธานี!I506"")"),50)</f>
        <v>50</v>
      </c>
      <c r="J611" s="162">
        <f ca="1">IFERROR(__xludf.DUMMYFUNCTION("IMPORTRANGE(""https://docs.google.com/spreadsheets/d/11923uPwbBZFjjGgGUA6NLw09EwE0CqkOc4q9oUmW1yo/edit?usp=sharing"",""อุทัยธานี!J506"")"),0)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IFERROR(__xludf.DUMMYFUNCTION("IMPORTRANGE(""https://docs.google.com/spreadsheets/d/11923uPwbBZFjjGgGUA6NLw09EwE0CqkOc4q9oUmW1yo/edit?usp=sharing"",""อุทัยธานี!I507"")"),0)</f>
        <v>0</v>
      </c>
      <c r="J612" s="197">
        <f ca="1">IFERROR(__xludf.DUMMYFUNCTION("IMPORTRANGE(""https://docs.google.com/spreadsheets/d/11923uPwbBZFjjGgGUA6NLw09EwE0CqkOc4q9oUmW1yo/edit?usp=sharing"",""อุทัยธานี!J507"")"),0)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IFERROR(__xludf.DUMMYFUNCTION("IMPORTRANGE(""https://docs.google.com/spreadsheets/d/11923uPwbBZFjjGgGUA6NLw09EwE0CqkOc4q9oUmW1yo/edit?usp=sharing"",""อุทัยธานี!I508"")"),0)</f>
        <v>0</v>
      </c>
      <c r="J613" s="197">
        <f ca="1">IFERROR(__xludf.DUMMYFUNCTION("IMPORTRANGE(""https://docs.google.com/spreadsheets/d/11923uPwbBZFjjGgGUA6NLw09EwE0CqkOc4q9oUmW1yo/edit?usp=sharing"",""อุทัยธานี!J508"")"),0)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IFERROR(__xludf.DUMMYFUNCTION("IMPORTRANGE(""https://docs.google.com/spreadsheets/d/11923uPwbBZFjjGgGUA6NLw09EwE0CqkOc4q9oUmW1yo/edit?usp=sharing"",""อุทัยธานี!I509"")"),0)</f>
        <v>0</v>
      </c>
      <c r="J614" s="197">
        <f ca="1">IFERROR(__xludf.DUMMYFUNCTION("IMPORTRANGE(""https://docs.google.com/spreadsheets/d/11923uPwbBZFjjGgGUA6NLw09EwE0CqkOc4q9oUmW1yo/edit?usp=sharing"",""อุทัยธานี!J509"")"),0)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IFERROR(__xludf.DUMMYFUNCTION("IMPORTRANGE(""https://docs.google.com/spreadsheets/d/11923uPwbBZFjjGgGUA6NLw09EwE0CqkOc4q9oUmW1yo/edit?usp=sharing"",""อุทัยธานี!I510"")"),0)</f>
        <v>0</v>
      </c>
      <c r="J615" s="197">
        <f ca="1">IFERROR(__xludf.DUMMYFUNCTION("IMPORTRANGE(""https://docs.google.com/spreadsheets/d/11923uPwbBZFjjGgGUA6NLw09EwE0CqkOc4q9oUmW1yo/edit?usp=sharing"",""อุทัยธานี!J510"")"),0)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IFERROR(__xludf.DUMMYFUNCTION("IMPORTRANGE(""https://docs.google.com/spreadsheets/d/11923uPwbBZFjjGgGUA6NLw09EwE0CqkOc4q9oUmW1yo/edit?usp=sharing"",""อุทัยธานี!I511"")"),0)</f>
        <v>0</v>
      </c>
      <c r="J616" s="197">
        <f ca="1">IFERROR(__xludf.DUMMYFUNCTION("IMPORTRANGE(""https://docs.google.com/spreadsheets/d/11923uPwbBZFjjGgGUA6NLw09EwE0CqkOc4q9oUmW1yo/edit?usp=sharing"",""อุทัยธานี!J511"")"),0)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IFERROR(__xludf.DUMMYFUNCTION("IMPORTRANGE(""https://docs.google.com/spreadsheets/d/11923uPwbBZFjjGgGUA6NLw09EwE0CqkOc4q9oUmW1yo/edit?usp=sharing"",""อุทัยธานี!I512"")"),0)</f>
        <v>0</v>
      </c>
      <c r="J617" s="187">
        <f ca="1">IFERROR(__xludf.DUMMYFUNCTION("IMPORTRANGE(""https://docs.google.com/spreadsheets/d/11923uPwbBZFjjGgGUA6NLw09EwE0CqkOc4q9oUmW1yo/edit?usp=sharing"",""อุทัยธานี!J512"")"),0)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IFERROR(__xludf.DUMMYFUNCTION("IMPORTRANGE(""https://docs.google.com/spreadsheets/d/11923uPwbBZFjjGgGUA6NLw09EwE0CqkOc4q9oUmW1yo/edit?usp=sharing"",""อุทัยธานี!I513"")"),0)</f>
        <v>0</v>
      </c>
      <c r="J618" s="188">
        <f ca="1">IFERROR(__xludf.DUMMYFUNCTION("IMPORTRANGE(""https://docs.google.com/spreadsheets/d/11923uPwbBZFjjGgGUA6NLw09EwE0CqkOc4q9oUmW1yo/edit?usp=sharing"",""อุทัยธานี!J513"")"),0)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IFERROR(__xludf.DUMMYFUNCTION("IMPORTRANGE(""https://docs.google.com/spreadsheets/d/11923uPwbBZFjjGgGUA6NLw09EwE0CqkOc4q9oUmW1yo/edit?usp=sharing"",""อุทัยธานี!I514"")"),0)</f>
        <v>0</v>
      </c>
      <c r="J619" s="188">
        <f ca="1">IFERROR(__xludf.DUMMYFUNCTION("IMPORTRANGE(""https://docs.google.com/spreadsheets/d/11923uPwbBZFjjGgGUA6NLw09EwE0CqkOc4q9oUmW1yo/edit?usp=sharing"",""อุทัยธานี!J514"")"),0)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IFERROR(__xludf.DUMMYFUNCTION("IMPORTRANGE(""https://docs.google.com/spreadsheets/d/11923uPwbBZFjjGgGUA6NLw09EwE0CqkOc4q9oUmW1yo/edit?usp=sharing"",""อุทัยธานี!I515"")"),0)</f>
        <v>0</v>
      </c>
      <c r="J620" s="202">
        <f ca="1">IFERROR(__xludf.DUMMYFUNCTION("IMPORTRANGE(""https://docs.google.com/spreadsheets/d/11923uPwbBZFjjGgGUA6NLw09EwE0CqkOc4q9oUmW1yo/edit?usp=sharing"",""อุทัยธานี!J515"")"),0)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IFERROR(__xludf.DUMMYFUNCTION("IMPORTRANGE(""https://docs.google.com/spreadsheets/d/11923uPwbBZFjjGgGUA6NLw09EwE0CqkOc4q9oUmW1yo/edit?usp=sharing"",""อุทัยธานี!I516"")"),0)</f>
        <v>0</v>
      </c>
      <c r="J621" s="202">
        <f ca="1">IFERROR(__xludf.DUMMYFUNCTION("IMPORTRANGE(""https://docs.google.com/spreadsheets/d/11923uPwbBZFjjGgGUA6NLw09EwE0CqkOc4q9oUmW1yo/edit?usp=sharing"",""อุทัยธานี!J516"")"),0)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IFERROR(__xludf.DUMMYFUNCTION("IMPORTRANGE(""https://docs.google.com/spreadsheets/d/11923uPwbBZFjjGgGUA6NLw09EwE0CqkOc4q9oUmW1yo/edit?usp=sharing"",""อุทัยธานี!I517"")"),0)</f>
        <v>0</v>
      </c>
      <c r="J622" s="188">
        <f ca="1">IFERROR(__xludf.DUMMYFUNCTION("IMPORTRANGE(""https://docs.google.com/spreadsheets/d/11923uPwbBZFjjGgGUA6NLw09EwE0CqkOc4q9oUmW1yo/edit?usp=sharing"",""อุทัยธานี!J517"")"),0)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IFERROR(__xludf.DUMMYFUNCTION("IMPORTRANGE(""https://docs.google.com/spreadsheets/d/11923uPwbBZFjjGgGUA6NLw09EwE0CqkOc4q9oUmW1yo/edit?usp=sharing"",""อุทัยธานี!I518"")"),0)</f>
        <v>0</v>
      </c>
      <c r="J623" s="188">
        <f ca="1">IFERROR(__xludf.DUMMYFUNCTION("IMPORTRANGE(""https://docs.google.com/spreadsheets/d/11923uPwbBZFjjGgGUA6NLw09EwE0CqkOc4q9oUmW1yo/edit?usp=sharing"",""อุทัยธานี!J518"")"),0)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IFERROR(__xludf.DUMMYFUNCTION("IMPORTRANGE(""https://docs.google.com/spreadsheets/d/11923uPwbBZFjjGgGUA6NLw09EwE0CqkOc4q9oUmW1yo/edit?usp=sharing"",""อุทัยธานี!I519"")"),0)</f>
        <v>0</v>
      </c>
      <c r="J624" s="187">
        <f ca="1">IFERROR(__xludf.DUMMYFUNCTION("IMPORTRANGE(""https://docs.google.com/spreadsheets/d/11923uPwbBZFjjGgGUA6NLw09EwE0CqkOc4q9oUmW1yo/edit?usp=sharing"",""อุทัยธานี!J519"")"),0)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IFERROR(__xludf.DUMMYFUNCTION("IMPORTRANGE(""https://docs.google.com/spreadsheets/d/11923uPwbBZFjjGgGUA6NLw09EwE0CqkOc4q9oUmW1yo/edit?usp=sharing"",""อุทัยธานี!I520"")"),0)</f>
        <v>0</v>
      </c>
      <c r="J625" s="188">
        <f ca="1">IFERROR(__xludf.DUMMYFUNCTION("IMPORTRANGE(""https://docs.google.com/spreadsheets/d/11923uPwbBZFjjGgGUA6NLw09EwE0CqkOc4q9oUmW1yo/edit?usp=sharing"",""อุทัยธานี!J520"")"),0)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IFERROR(__xludf.DUMMYFUNCTION("IMPORTRANGE(""https://docs.google.com/spreadsheets/d/11923uPwbBZFjjGgGUA6NLw09EwE0CqkOc4q9oUmW1yo/edit?usp=sharing"",""อุทัยธานี!I521"")"),0)</f>
        <v>0</v>
      </c>
      <c r="J626" s="188">
        <f ca="1">IFERROR(__xludf.DUMMYFUNCTION("IMPORTRANGE(""https://docs.google.com/spreadsheets/d/11923uPwbBZFjjGgGUA6NLw09EwE0CqkOc4q9oUmW1yo/edit?usp=sharing"",""อุทัยธานี!J521"")"),0)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IFERROR(__xludf.DUMMYFUNCTION("IMPORTRANGE(""https://docs.google.com/spreadsheets/d/11923uPwbBZFjjGgGUA6NLw09EwE0CqkOc4q9oUmW1yo/edit?usp=sharing"",""อุทัยธานี!I523"")"),1621320.27)</f>
        <v>1621320.27</v>
      </c>
      <c r="J628" s="341">
        <f ca="1">IFERROR(__xludf.DUMMYFUNCTION("IMPORTRANGE(""https://docs.google.com/spreadsheets/d/11923uPwbBZFjjGgGUA6NLw09EwE0CqkOc4q9oUmW1yo/edit?usp=sharing"",""อุทัยธานี!J523"")"),1496432.05)</f>
        <v>1496432.05</v>
      </c>
      <c r="K628" s="342">
        <f t="shared" ref="K628:K635" ca="1" si="129">IF(I628&gt;0,J628*100/I628,0)</f>
        <v>92.2971283150614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IFERROR(__xludf.DUMMYFUNCTION("IMPORTRANGE(""https://docs.google.com/spreadsheets/d/11923uPwbBZFjjGgGUA6NLw09EwE0CqkOc4q9oUmW1yo/edit?usp=sharing"",""อุทัยธานี!I524"")"),108)</f>
        <v>108</v>
      </c>
      <c r="J629" s="341">
        <f ca="1">IFERROR(__xludf.DUMMYFUNCTION("IMPORTRANGE(""https://docs.google.com/spreadsheets/d/11923uPwbBZFjjGgGUA6NLw09EwE0CqkOc4q9oUmW1yo/edit?usp=sharing"",""อุทัยธานี!J524"")"),106)</f>
        <v>106</v>
      </c>
      <c r="K629" s="342">
        <f t="shared" ca="1" si="129"/>
        <v>98.148148148148152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41">
        <f ca="1">IFERROR(__xludf.DUMMYFUNCTION("IMPORTRANGE(""https://docs.google.com/spreadsheets/d/11923uPwbBZFjjGgGUA6NLw09EwE0CqkOc4q9oUmW1yo/edit?usp=sharing"",""อุทัยธานี!J525"")"),2109350.4)</f>
        <v>2109350.4</v>
      </c>
      <c r="K630" s="342">
        <f t="shared" ca="1" si="129"/>
        <v>17.155539216066856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IFERROR(__xludf.DUMMYFUNCTION("IMPORTRANGE(""https://docs.google.com/spreadsheets/d/11923uPwbBZFjjGgGUA6NLw09EwE0CqkOc4q9oUmW1yo/edit?usp=sharing"",""อุทัยธานี!I526"")"),678)</f>
        <v>678</v>
      </c>
      <c r="J631" s="341">
        <f ca="1">IFERROR(__xludf.DUMMYFUNCTION("IMPORTRANGE(""https://docs.google.com/spreadsheets/d/11923uPwbBZFjjGgGUA6NLw09EwE0CqkOc4q9oUmW1yo/edit?usp=sharing"",""อุทัยธานี!J526"")"),301)</f>
        <v>301</v>
      </c>
      <c r="K631" s="342">
        <f t="shared" ca="1" si="129"/>
        <v>44.395280235988203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41">
        <f ca="1">IFERROR(__xludf.DUMMYFUNCTION("IMPORTRANGE(""https://docs.google.com/spreadsheets/d/11923uPwbBZFjjGgGUA6NLw09EwE0CqkOc4q9oUmW1yo/edit?usp=sharing"",""อุทัยธานี!J527"")"),1556594.72)</f>
        <v>1556594.72</v>
      </c>
      <c r="K632" s="342">
        <f t="shared" ca="1" si="129"/>
        <v>39.098907437031521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IFERROR(__xludf.DUMMYFUNCTION("IMPORTRANGE(""https://docs.google.com/spreadsheets/d/11923uPwbBZFjjGgGUA6NLw09EwE0CqkOc4q9oUmW1yo/edit?usp=sharing"",""อุทัยธานี!I528"")"),248)</f>
        <v>248</v>
      </c>
      <c r="J633" s="341">
        <f ca="1">IFERROR(__xludf.DUMMYFUNCTION("IMPORTRANGE(""https://docs.google.com/spreadsheets/d/11923uPwbBZFjjGgGUA6NLw09EwE0CqkOc4q9oUmW1yo/edit?usp=sharing"",""อุทัยธานี!J528"")"),172)</f>
        <v>172</v>
      </c>
      <c r="K633" s="342">
        <f t="shared" ca="1" si="129"/>
        <v>69.354838709677423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IFERROR(__xludf.DUMMYFUNCTION("IMPORTRANGE(""https://docs.google.com/spreadsheets/d/11923uPwbBZFjjGgGUA6NLw09EwE0CqkOc4q9oUmW1yo/edit?usp=sharing"",""อุทัยธานี!I529"")"),2000000)</f>
        <v>2000000</v>
      </c>
      <c r="J634" s="341">
        <f ca="1">IFERROR(__xludf.DUMMYFUNCTION("IMPORTRANGE(""https://docs.google.com/spreadsheets/d/11923uPwbBZFjjGgGUA6NLw09EwE0CqkOc4q9oUmW1yo/edit?usp=sharing"",""อุทัยธานี!J529"")"),2000000)</f>
        <v>2000000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IFERROR(__xludf.DUMMYFUNCTION("IMPORTRANGE(""https://docs.google.com/spreadsheets/d/11923uPwbBZFjjGgGUA6NLw09EwE0CqkOc4q9oUmW1yo/edit?usp=sharing"",""อุทัยธานี!I530"")"),96)</f>
        <v>96</v>
      </c>
      <c r="J635" s="505">
        <f ca="1">IFERROR(__xludf.DUMMYFUNCTION("IMPORTRANGE(""https://docs.google.com/spreadsheets/d/11923uPwbBZFjjGgGUA6NLw09EwE0CqkOc4q9oUmW1yo/edit?usp=sharing"",""อุทัยธานี!J530"")"),100)</f>
        <v>100</v>
      </c>
      <c r="K635" s="487">
        <f t="shared" ca="1" si="129"/>
        <v>104.16666666666667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38160</v>
      </c>
      <c r="M636" s="511"/>
      <c r="N636" s="510">
        <f ca="1">SUM(N637:N638)</f>
        <v>1656</v>
      </c>
      <c r="O636" s="510">
        <f t="shared" ref="O636:O640" ca="1" si="130">+IF(L636&gt;0,N636*100/L636,0)</f>
        <v>4.3396226415094343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38160</v>
      </c>
      <c r="M638" s="521"/>
      <c r="N638" s="522">
        <f ca="1">SUM(N639:N640)</f>
        <v>1656</v>
      </c>
      <c r="O638" s="522">
        <f t="shared" ca="1" si="130"/>
        <v>4.3396226415094343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38160</v>
      </c>
      <c r="M640" s="521"/>
      <c r="N640" s="522">
        <f ca="1">SUM(N641:N644)</f>
        <v>1656</v>
      </c>
      <c r="O640" s="522">
        <f t="shared" ca="1" si="130"/>
        <v>4.3396226415094343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1656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IFERROR(__xludf.DUMMYFUNCTION("IMPORTRANGE(""https://docs.google.com/spreadsheets/d/11923uPwbBZFjjGgGUA6NLw09EwE0CqkOc4q9oUmW1yo/edit?usp=sharing"",""อุทัยธานี!J541"")"),0)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IFERROR(__xludf.DUMMYFUNCTION("IMPORTRANGE(""https://docs.google.com/spreadsheets/d/11923uPwbBZFjjGgGUA6NLw09EwE0CqkOc4q9oUmW1yo/edit?usp=sharing"",""อุทัยธานี!J542"")"),0)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IFERROR(__xludf.DUMMYFUNCTION("IMPORTRANGE(""https://docs.google.com/spreadsheets/d/11923uPwbBZFjjGgGUA6NLw09EwE0CqkOc4q9oUmW1yo/edit?usp=sharing"",""อุทัยธานี!I543"")"),0)</f>
        <v>0</v>
      </c>
      <c r="J648" s="536">
        <f ca="1">IFERROR(__xludf.DUMMYFUNCTION("IMPORTRANGE(""https://docs.google.com/spreadsheets/d/11923uPwbBZFjjGgGUA6NLw09EwE0CqkOc4q9oUmW1yo/edit?usp=sharing"",""อุทัยธานี!J543"")"),0)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IFERROR(__xludf.DUMMYFUNCTION("IMPORTRANGE(""https://docs.google.com/spreadsheets/d/11923uPwbBZFjjGgGUA6NLw09EwE0CqkOc4q9oUmW1yo/edit?usp=sharing"",""อุทัยธานี!L543"")"),0)</f>
        <v>0</v>
      </c>
      <c r="M648" s="521"/>
      <c r="N648" s="538">
        <f ca="1">IFERROR(__xludf.DUMMYFUNCTION("IMPORTRANGE(""https://docs.google.com/spreadsheets/d/11923uPwbBZFjjGgGUA6NLw09EwE0CqkOc4q9oUmW1yo/edit?usp=sharing"",""อุทัยธานี!M543"")"),0)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IFERROR(__xludf.DUMMYFUNCTION("IMPORTRANGE(""https://docs.google.com/spreadsheets/d/11923uPwbBZFjjGgGUA6NLw09EwE0CqkOc4q9oUmW1yo/edit?usp=sharing"",""อุทัยธานี!I544"")"),0)</f>
        <v>0</v>
      </c>
      <c r="J649" s="536">
        <f ca="1">IFERROR(__xludf.DUMMYFUNCTION("IMPORTRANGE(""https://docs.google.com/spreadsheets/d/11923uPwbBZFjjGgGUA6NLw09EwE0CqkOc4q9oUmW1yo/edit?usp=sharing"",""อุทัยธานี!J544"")"),0)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IFERROR(__xludf.DUMMYFUNCTION("IMPORTRANGE(""https://docs.google.com/spreadsheets/d/11923uPwbBZFjjGgGUA6NLw09EwE0CqkOc4q9oUmW1yo/edit?usp=sharing"",""อุทัยธานี!L544"")"),0)</f>
        <v>0</v>
      </c>
      <c r="M649" s="521"/>
      <c r="N649" s="538">
        <f ca="1">IFERROR(__xludf.DUMMYFUNCTION("IMPORTRANGE(""https://docs.google.com/spreadsheets/d/11923uPwbBZFjjGgGUA6NLw09EwE0CqkOc4q9oUmW1yo/edit?usp=sharing"",""อุทัยธานี!M544"")"),0)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IFERROR(__xludf.DUMMYFUNCTION("IMPORTRANGE(""https://docs.google.com/spreadsheets/d/11923uPwbBZFjjGgGUA6NLw09EwE0CqkOc4q9oUmW1yo/edit?usp=sharing"",""อุทัยธานี!I545"")"),115)</f>
        <v>115</v>
      </c>
      <c r="J650" s="536">
        <f ca="1">IFERROR(__xludf.DUMMYFUNCTION("IMPORTRANGE(""https://docs.google.com/spreadsheets/d/11923uPwbBZFjjGgGUA6NLw09EwE0CqkOc4q9oUmW1yo/edit?usp=sharing"",""อุทัยธานี!J545"")"),55.75)</f>
        <v>55.75</v>
      </c>
      <c r="K650" s="537">
        <f t="shared" ca="1" si="131"/>
        <v>48.478260869565219</v>
      </c>
      <c r="L650" s="522">
        <f ca="1">IFERROR(__xludf.DUMMYFUNCTION("IMPORTRANGE(""https://docs.google.com/spreadsheets/d/11923uPwbBZFjjGgGUA6NLw09EwE0CqkOc4q9oUmW1yo/edit?usp=sharing"",""อุทัยธานี!L545"")"),575)</f>
        <v>575</v>
      </c>
      <c r="M650" s="521"/>
      <c r="N650" s="538">
        <f ca="1">IFERROR(__xludf.DUMMYFUNCTION("IMPORTRANGE(""https://docs.google.com/spreadsheets/d/11923uPwbBZFjjGgGUA6NLw09EwE0CqkOc4q9oUmW1yo/edit?usp=sharing"",""อุทัยธานี!M545"")"),0)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IFERROR(__xludf.DUMMYFUNCTION("IMPORTRANGE(""https://docs.google.com/spreadsheets/d/11923uPwbBZFjjGgGUA6NLw09EwE0CqkOc4q9oUmW1yo/edit?usp=sharing"",""อุทัยธานี!I546"")"),185)</f>
        <v>185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IFERROR(__xludf.DUMMYFUNCTION("IMPORTRANGE(""https://docs.google.com/spreadsheets/d/11923uPwbBZFjjGgGUA6NLw09EwE0CqkOc4q9oUmW1yo/edit?usp=sharing"",""อุทัยธานี!L546"")"),4625)</f>
        <v>4625</v>
      </c>
      <c r="M651" s="521"/>
      <c r="N651" s="538">
        <f ca="1">IFERROR(__xludf.DUMMYFUNCTION("IMPORTRANGE(""https://docs.google.com/spreadsheets/d/11923uPwbBZFjjGgGUA6NLw09EwE0CqkOc4q9oUmW1yo/edit?usp=sharing"",""อุทัยธานี!M546"")"),0)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IFERROR(__xludf.DUMMYFUNCTION("IMPORTRANGE(""https://docs.google.com/spreadsheets/d/11923uPwbBZFjjGgGUA6NLw09EwE0CqkOc4q9oUmW1yo/edit?usp=sharing"",""อุทัยธานี!J547"")"),0)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IFERROR(__xludf.DUMMYFUNCTION("IMPORTRANGE(""https://docs.google.com/spreadsheets/d/11923uPwbBZFjjGgGUA6NLw09EwE0CqkOc4q9oUmW1yo/edit?usp=sharing"",""อุทัยธานี!J548"")"),0)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IFERROR(__xludf.DUMMYFUNCTION("IMPORTRANGE(""https://docs.google.com/spreadsheets/d/11923uPwbBZFjjGgGUA6NLw09EwE0CqkOc4q9oUmW1yo/edit?usp=sharing"",""อุทัยธานี!J550"")"),0)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IFERROR(__xludf.DUMMYFUNCTION("IMPORTRANGE(""https://docs.google.com/spreadsheets/d/11923uPwbBZFjjGgGUA6NLw09EwE0CqkOc4q9oUmW1yo/edit?usp=sharing"",""อุทัยธานี!J551"")"),0)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IFERROR(__xludf.DUMMYFUNCTION("IMPORTRANGE(""https://docs.google.com/spreadsheets/d/11923uPwbBZFjjGgGUA6NLw09EwE0CqkOc4q9oUmW1yo/edit?usp=sharing"",""อุทัยธานี!J552"")"),0)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IFERROR(__xludf.DUMMYFUNCTION("IMPORTRANGE(""https://docs.google.com/spreadsheets/d/11923uPwbBZFjjGgGUA6NLw09EwE0CqkOc4q9oUmW1yo/edit?usp=sharing"",""อุทัยธานี!J553"")"),0)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IFERROR(__xludf.DUMMYFUNCTION("IMPORTRANGE(""https://docs.google.com/spreadsheets/d/11923uPwbBZFjjGgGUA6NLw09EwE0CqkOc4q9oUmW1yo/edit?usp=sharing"",""อุทัยธานี!J554"")"),0)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IFERROR(__xludf.DUMMYFUNCTION("IMPORTRANGE(""https://docs.google.com/spreadsheets/d/11923uPwbBZFjjGgGUA6NLw09EwE0CqkOc4q9oUmW1yo/edit?usp=sharing"",""อุทัยธานี!J555"")"),0)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IFERROR(__xludf.DUMMYFUNCTION("IMPORTRANGE(""https://docs.google.com/spreadsheets/d/11923uPwbBZFjjGgGUA6NLw09EwE0CqkOc4q9oUmW1yo/edit?usp=sharing"",""อุทัยธานี!J556"")"),29)</f>
        <v>29</v>
      </c>
      <c r="K661" s="537"/>
      <c r="L661" s="522">
        <f ca="1">IFERROR(__xludf.DUMMYFUNCTION("IMPORTRANGE(""https://docs.google.com/spreadsheets/d/11923uPwbBZFjjGgGUA6NLw09EwE0CqkOc4q9oUmW1yo/edit?usp=sharing"",""อุทัยธานี!L556"")"),19920)</f>
        <v>19920</v>
      </c>
      <c r="M661" s="521"/>
      <c r="N661" s="538">
        <f ca="1">IFERROR(__xludf.DUMMYFUNCTION("IMPORTRANGE(""https://docs.google.com/spreadsheets/d/11923uPwbBZFjjGgGUA6NLw09EwE0CqkOc4q9oUmW1yo/edit?usp=sharing"",""อุทัยธานี!M556"")"),1656)</f>
        <v>1656</v>
      </c>
      <c r="O661" s="537">
        <f ca="1">IF(L661&gt;0,N661*100/L661,0)</f>
        <v>8.3132530120481931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IFERROR(__xludf.DUMMYFUNCTION("IMPORTRANGE(""https://docs.google.com/spreadsheets/d/11923uPwbBZFjjGgGUA6NLw09EwE0CqkOc4q9oUmW1yo/edit?usp=sharing"",""อุทัยธานี!J557"")"),30)</f>
        <v>30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IFERROR(__xludf.DUMMYFUNCTION("IMPORTRANGE(""https://docs.google.com/spreadsheets/d/11923uPwbBZFjjGgGUA6NLw09EwE0CqkOc4q9oUmW1yo/edit?usp=sharing"",""อุทัยธานี!I558"")"),498)</f>
        <v>498</v>
      </c>
      <c r="J663" s="536">
        <f ca="1">IFERROR(__xludf.DUMMYFUNCTION("IMPORTRANGE(""https://docs.google.com/spreadsheets/d/11923uPwbBZFjjGgGUA6NLw09EwE0CqkOc4q9oUmW1yo/edit?usp=sharing"",""อุทัยธานี!J558"")"),503.11)</f>
        <v>503.11</v>
      </c>
      <c r="K663" s="537">
        <f ca="1">IF(I663&gt;0,J663*100/I663,0)</f>
        <v>101.02610441767068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IFERROR(__xludf.DUMMYFUNCTION("IMPORTRANGE(""https://docs.google.com/spreadsheets/d/11923uPwbBZFjjGgGUA6NLw09EwE0CqkOc4q9oUmW1yo/edit?usp=sharing"",""อุทัยธานี!I560"")"),6)</f>
        <v>6</v>
      </c>
      <c r="J665" s="536">
        <f ca="1">IFERROR(__xludf.DUMMYFUNCTION("IMPORTRANGE(""https://docs.google.com/spreadsheets/d/11923uPwbBZFjjGgGUA6NLw09EwE0CqkOc4q9oUmW1yo/edit?usp=sharing"",""อุทัยธานี!J560"")"),8)</f>
        <v>8</v>
      </c>
      <c r="K665" s="537">
        <f ca="1">IF(I665&gt;0,J665*100/I665,0)</f>
        <v>133.33333333333334</v>
      </c>
      <c r="L665" s="522">
        <f ca="1">IFERROR(__xludf.DUMMYFUNCTION("IMPORTRANGE(""https://docs.google.com/spreadsheets/d/11923uPwbBZFjjGgGUA6NLw09EwE0CqkOc4q9oUmW1yo/edit?usp=sharing"",""อุทัยธานี!L560"")"),720)</f>
        <v>720</v>
      </c>
      <c r="M665" s="521"/>
      <c r="N665" s="538">
        <f ca="1">IFERROR(__xludf.DUMMYFUNCTION("IMPORTRANGE(""https://docs.google.com/spreadsheets/d/11923uPwbBZFjjGgGUA6NLw09EwE0CqkOc4q9oUmW1yo/edit?usp=sharing"",""อุทัยธานี!M560"")"),0)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IFERROR(__xludf.DUMMYFUNCTION("IMPORTRANGE(""https://docs.google.com/spreadsheets/d/11923uPwbBZFjjGgGUA6NLw09EwE0CqkOc4q9oUmW1yo/edit?usp=sharing"",""อุทัยธานี!J561"")"),8)</f>
        <v>8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IFERROR(__xludf.DUMMYFUNCTION("IMPORTRANGE(""https://docs.google.com/spreadsheets/d/11923uPwbBZFjjGgGUA6NLw09EwE0CqkOc4q9oUmW1yo/edit?usp=sharing"",""อุทัยธานี!J562"")"),179.88)</f>
        <v>179.88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IFERROR(__xludf.DUMMYFUNCTION("IMPORTRANGE(""https://docs.google.com/spreadsheets/d/11923uPwbBZFjjGgGUA6NLw09EwE0CqkOc4q9oUmW1yo/edit?usp=sharing"",""อุทัยธานี!I563"")"),6)</f>
        <v>6</v>
      </c>
      <c r="J668" s="536">
        <f ca="1">IFERROR(__xludf.DUMMYFUNCTION("IMPORTRANGE(""https://docs.google.com/spreadsheets/d/11923uPwbBZFjjGgGUA6NLw09EwE0CqkOc4q9oUmW1yo/edit?usp=sharing"",""อุทัยธานี!J563"")"),0)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IFERROR(__xludf.DUMMYFUNCTION("IMPORTRANGE(""https://docs.google.com/spreadsheets/d/11923uPwbBZFjjGgGUA6NLw09EwE0CqkOc4q9oUmW1yo/edit?usp=sharing"",""อุทัยธานี!L563"")"),5280)</f>
        <v>5280</v>
      </c>
      <c r="M668" s="521"/>
      <c r="N668" s="538">
        <f ca="1">IFERROR(__xludf.DUMMYFUNCTION("IMPORTRANGE(""https://docs.google.com/spreadsheets/d/11923uPwbBZFjjGgGUA6NLw09EwE0CqkOc4q9oUmW1yo/edit?usp=sharing"",""อุทัยธานี!M563"")"),0)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IFERROR(__xludf.DUMMYFUNCTION("IMPORTRANGE(""https://docs.google.com/spreadsheets/d/11923uPwbBZFjjGgGUA6NLw09EwE0CqkOc4q9oUmW1yo/edit?usp=sharing"",""อุทัยธานี!J564"")"),0)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IFERROR(__xludf.DUMMYFUNCTION("IMPORTRANGE(""https://docs.google.com/spreadsheets/d/11923uPwbBZFjjGgGUA6NLw09EwE0CqkOc4q9oUmW1yo/edit?usp=sharing"",""อุทัยธานี!J565"")"),0)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IFERROR(__xludf.DUMMYFUNCTION("IMPORTRANGE(""https://docs.google.com/spreadsheets/d/11923uPwbBZFjjGgGUA6NLw09EwE0CqkOc4q9oUmW1yo/edit?usp=sharing"",""อุทัยธานี!I566"")"),88)</f>
        <v>88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IFERROR(__xludf.DUMMYFUNCTION("IMPORTRANGE(""https://docs.google.com/spreadsheets/d/11923uPwbBZFjjGgGUA6NLw09EwE0CqkOc4q9oUmW1yo/edit?usp=sharing"",""อุทัยธานี!L566"")"),7040)</f>
        <v>7040</v>
      </c>
      <c r="M671" s="521"/>
      <c r="N671" s="538">
        <f ca="1">IFERROR(__xludf.DUMMYFUNCTION("IMPORTRANGE(""https://docs.google.com/spreadsheets/d/11923uPwbBZFjjGgGUA6NLw09EwE0CqkOc4q9oUmW1yo/edit?usp=sharing"",""อุทัยธานี!M566"")"),0)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IFERROR(__xludf.DUMMYFUNCTION("IMPORTRANGE(""https://docs.google.com/spreadsheets/d/11923uPwbBZFjjGgGUA6NLw09EwE0CqkOc4q9oUmW1yo/edit?usp=sharing"",""อุทัยธานี!J567"")"),0)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IFERROR(__xludf.DUMMYFUNCTION("IMPORTRANGE(""https://docs.google.com/spreadsheets/d/11923uPwbBZFjjGgGUA6NLw09EwE0CqkOc4q9oUmW1yo/edit?usp=sharing"",""อุทัยธานี!J568"")"),0)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IFERROR(__xludf.DUMMYFUNCTION("IMPORTRANGE(""https://docs.google.com/spreadsheets/d/11923uPwbBZFjjGgGUA6NLw09EwE0CqkOc4q9oUmW1yo/edit?usp=sharing"",""อุทัยธานี!J569"")"),0)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IFERROR(__xludf.DUMMYFUNCTION("IMPORTRANGE(""https://docs.google.com/spreadsheets/d/11923uPwbBZFjjGgGUA6NLw09EwE0CqkOc4q9oUmW1yo/edit?usp=sharing"",""อุทัยธานี!J570"")"),0)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IFERROR(__xludf.DUMMYFUNCTION("IMPORTRANGE(""https://docs.google.com/spreadsheets/d/11923uPwbBZFjjGgGUA6NLw09EwE0CqkOc4q9oUmW1yo/edit?usp=sharing"",""อุทัยธานี!J571"")"),0)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IFERROR(__xludf.DUMMYFUNCTION("IMPORTRANGE(""https://docs.google.com/spreadsheets/d/11923uPwbBZFjjGgGUA6NLw09EwE0CqkOc4q9oUmW1yo/edit?usp=sharing"",""อุทัยธานี!J572"")"),0)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3:P3"/>
    <mergeCell ref="A2:P2"/>
    <mergeCell ref="A1:P1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7384531</v>
      </c>
      <c r="M8" s="23">
        <f t="shared" ca="1" si="0"/>
        <v>3982993</v>
      </c>
      <c r="N8" s="23">
        <f t="shared" ca="1" si="0"/>
        <v>3776481.0399999991</v>
      </c>
      <c r="O8" s="22">
        <f t="shared" ref="O8:O16" ca="1" si="1">IF(L8&gt;0,N8*100/L8,0)</f>
        <v>51.14043180264256</v>
      </c>
      <c r="P8" s="22">
        <f t="shared" ref="P8:P16" ca="1" si="2">IF(M8&gt;0,N8*100/M8,0)</f>
        <v>94.815156340972706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7384531</v>
      </c>
      <c r="M10" s="30">
        <f t="shared" ca="1" si="4"/>
        <v>3982993</v>
      </c>
      <c r="N10" s="30">
        <f t="shared" ca="1" si="4"/>
        <v>3776481.0399999991</v>
      </c>
      <c r="O10" s="29">
        <f t="shared" ca="1" si="1"/>
        <v>51.14043180264256</v>
      </c>
      <c r="P10" s="29">
        <f t="shared" ca="1" si="2"/>
        <v>94.815156340972706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7384531</v>
      </c>
      <c r="M12" s="39">
        <f t="shared" ca="1" si="6"/>
        <v>3982993</v>
      </c>
      <c r="N12" s="39">
        <f t="shared" ca="1" si="6"/>
        <v>3776481.0399999991</v>
      </c>
      <c r="O12" s="39">
        <f t="shared" ca="1" si="1"/>
        <v>51.14043180264256</v>
      </c>
      <c r="P12" s="39">
        <f t="shared" ca="1" si="2"/>
        <v>94.815156340972706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2181000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5203531</v>
      </c>
      <c r="M14" s="39">
        <f t="shared" si="8"/>
        <v>0</v>
      </c>
      <c r="N14" s="39">
        <f t="shared" ca="1" si="8"/>
        <v>1051630.5799999989</v>
      </c>
      <c r="O14" s="39">
        <f t="shared" ca="1" si="1"/>
        <v>20.209941672299038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0</v>
      </c>
      <c r="M16" s="39">
        <f t="shared" si="10"/>
        <v>0</v>
      </c>
      <c r="N16" s="39">
        <f t="shared" ca="1" si="10"/>
        <v>0</v>
      </c>
      <c r="O16" s="50">
        <f t="shared" ca="1" si="1"/>
        <v>0</v>
      </c>
      <c r="P16" s="50">
        <f t="shared" si="2"/>
        <v>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3983895</v>
      </c>
      <c r="M18" s="23">
        <f t="shared" ca="1" si="11"/>
        <v>3982993</v>
      </c>
      <c r="N18" s="23">
        <f t="shared" ca="1" si="11"/>
        <v>2724850.46</v>
      </c>
      <c r="O18" s="22">
        <f t="shared" ref="O18:O20" ca="1" si="12">IF(L18&gt;0,N18*100/L18,0)</f>
        <v>68.396643485834844</v>
      </c>
      <c r="P18" s="22">
        <f t="shared" ref="P18:P26" ca="1" si="13">IF(M18&gt;0,N18*100/M18,0)</f>
        <v>68.412132785571046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3983895</v>
      </c>
      <c r="M20" s="30">
        <f t="shared" ca="1" si="15"/>
        <v>3982993</v>
      </c>
      <c r="N20" s="30">
        <f t="shared" ca="1" si="15"/>
        <v>2724850.46</v>
      </c>
      <c r="O20" s="29">
        <f t="shared" ca="1" si="12"/>
        <v>68.396643485834844</v>
      </c>
      <c r="P20" s="29">
        <f t="shared" ca="1" si="13"/>
        <v>68.412132785571046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3983895</v>
      </c>
      <c r="M22" s="42">
        <f t="shared" ca="1" si="18"/>
        <v>3982993</v>
      </c>
      <c r="N22" s="39">
        <f t="shared" ca="1" si="18"/>
        <v>2724850.46</v>
      </c>
      <c r="O22" s="39">
        <f t="shared" ca="1" si="17"/>
        <v>68.396643485834844</v>
      </c>
      <c r="P22" s="39">
        <f t="shared" ca="1" si="13"/>
        <v>68.412132785571046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2181000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1802895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0</v>
      </c>
      <c r="M26" s="50">
        <f t="shared" si="22"/>
        <v>0</v>
      </c>
      <c r="N26" s="50">
        <f t="shared" ca="1" si="22"/>
        <v>0</v>
      </c>
      <c r="O26" s="50">
        <f t="shared" ca="1" si="17"/>
        <v>0</v>
      </c>
      <c r="P26" s="50">
        <f t="shared" si="13"/>
        <v>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3400636</v>
      </c>
      <c r="M28" s="23">
        <f t="shared" si="23"/>
        <v>0</v>
      </c>
      <c r="N28" s="23">
        <f t="shared" ca="1" si="23"/>
        <v>1051630.5799999989</v>
      </c>
      <c r="O28" s="22">
        <f t="shared" ref="O28:O30" ca="1" si="24">IF(L28&gt;0,N28*100/L28,0)</f>
        <v>30.924526470930701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3400636</v>
      </c>
      <c r="M30" s="30">
        <f t="shared" si="27"/>
        <v>0</v>
      </c>
      <c r="N30" s="30">
        <f t="shared" ca="1" si="27"/>
        <v>1051630.5799999989</v>
      </c>
      <c r="O30" s="29">
        <f t="shared" ca="1" si="24"/>
        <v>30.924526470930701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3400636</v>
      </c>
      <c r="M32" s="39">
        <f t="shared" si="30"/>
        <v>0</v>
      </c>
      <c r="N32" s="39">
        <f t="shared" ca="1" si="30"/>
        <v>1051630.5799999989</v>
      </c>
      <c r="O32" s="39">
        <f t="shared" ca="1" si="29"/>
        <v>30.924526470930701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3400636</v>
      </c>
      <c r="M34" s="39">
        <f t="shared" si="32"/>
        <v>0</v>
      </c>
      <c r="N34" s="39">
        <f t="shared" ca="1" si="32"/>
        <v>1051630.5799999989</v>
      </c>
      <c r="O34" s="39">
        <f t="shared" ca="1" si="29"/>
        <v>30.924526470930701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3983895</v>
      </c>
      <c r="M37" s="55">
        <f t="shared" ca="1" si="33"/>
        <v>3982993</v>
      </c>
      <c r="N37" s="55">
        <f t="shared" ca="1" si="33"/>
        <v>2724850.46</v>
      </c>
      <c r="O37" s="56">
        <f t="shared" ca="1" si="29"/>
        <v>68.396643485834844</v>
      </c>
      <c r="P37" s="56">
        <f t="shared" ca="1" si="25"/>
        <v>68.412132785571046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840900</v>
      </c>
      <c r="M41" s="79">
        <f t="shared" ca="1" si="34"/>
        <v>840900</v>
      </c>
      <c r="N41" s="79">
        <f t="shared" ca="1" si="34"/>
        <v>620755.93000000005</v>
      </c>
      <c r="O41" s="78">
        <f t="shared" ref="O41:O43" ca="1" si="35">IF(L41&gt;0,N41*100/L41,0)</f>
        <v>73.820422166726132</v>
      </c>
      <c r="P41" s="78">
        <f t="shared" ref="P41:P43" ca="1" si="36">IF(M41&gt;0,N41*100/M41,0)</f>
        <v>73.820422166726132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840900</v>
      </c>
      <c r="M43" s="79">
        <f t="shared" ca="1" si="38"/>
        <v>840900</v>
      </c>
      <c r="N43" s="79">
        <f t="shared" ca="1" si="38"/>
        <v>620755.93000000005</v>
      </c>
      <c r="O43" s="78">
        <f t="shared" ca="1" si="35"/>
        <v>73.820422166726132</v>
      </c>
      <c r="P43" s="78">
        <f t="shared" ca="1" si="36"/>
        <v>73.820422166726132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840900</v>
      </c>
      <c r="M45" s="50">
        <f ca="1">IFERROR(__xludf.DUMMYFUNCTION("IMPORTRANGE(""https://docs.google.com/spreadsheets/d/1Yj_ptqi66GCucihVvJfMjLAmec39IyEx_6qawtMGysU/edit?usp=sharing"",""สบก!Q20"")"),840900)</f>
        <v>840900</v>
      </c>
      <c r="N45" s="50">
        <f ca="1">IFERROR(__xludf.DUMMYFUNCTION("IMPORTRANGE(""https://docs.google.com/spreadsheets/d/1Yj_ptqi66GCucihVvJfMjLAmec39IyEx_6qawtMGysU/edit?usp=sharing"",""สบก!R20"")"),620755.93)</f>
        <v>620755.93000000005</v>
      </c>
      <c r="O45" s="39">
        <f ca="1">IF(L45&gt;0,N45*100/L45,0)</f>
        <v>73.820422166726132</v>
      </c>
      <c r="P45" s="39">
        <f ca="1">IF(M45&gt;0,N45*100/M45,0)</f>
        <v>73.820422166726132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IFERROR(__xludf.DUMMYFUNCTION("IMPORTRANGE(""https://docs.google.com/spreadsheets/d/1Yj_ptqi66GCucihVvJfMjLAmec39IyEx_6qawtMGysU/edit?usp=sharing"",""สบก!M20"")"),840900)</f>
        <v>840900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IFERROR(__xludf.DUMMYFUNCTION("IMPORTRANGE(""https://docs.google.com/spreadsheets/d/1Yj_ptqi66GCucihVvJfMjLAmec39IyEx_6qawtMGysU/edit?usp=sharing"",""สบก!N20"")"),0)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IFERROR(__xludf.DUMMYFUNCTION("IMPORTRANGE(""https://docs.google.com/spreadsheets/d/1Yj_ptqi66GCucihVvJfMjLAmec39IyEx_6qawtMGysU/edit?usp=sharing"",""สบก!O20"")"),0)</f>
        <v>0</v>
      </c>
      <c r="M49" s="50"/>
      <c r="N49" s="50">
        <f ca="1">IFERROR(__xludf.DUMMYFUNCTION("IMPORTRANGE(""https://docs.google.com/spreadsheets/d/1Yj_ptqi66GCucihVvJfMjLAmec39IyEx_6qawtMGysU/edit?usp=sharing"",""สบก!S20"")"),0)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469000</v>
      </c>
      <c r="M53" s="121">
        <f t="shared" ca="1" si="39"/>
        <v>488538</v>
      </c>
      <c r="N53" s="121">
        <f t="shared" ca="1" si="39"/>
        <v>386027</v>
      </c>
      <c r="O53" s="120">
        <f t="shared" ref="O53:O55" ca="1" si="40">IF(L53&gt;0,N53*100/L53,0)</f>
        <v>82.308528784648189</v>
      </c>
      <c r="P53" s="120">
        <f t="shared" ref="P53:P55" ca="1" si="41">IF(M53&gt;0,N53*100/M53,0)</f>
        <v>79.016780680315549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469000</v>
      </c>
      <c r="M55" s="121">
        <f t="shared" ca="1" si="43"/>
        <v>488538</v>
      </c>
      <c r="N55" s="121">
        <f t="shared" ca="1" si="43"/>
        <v>386027</v>
      </c>
      <c r="O55" s="120">
        <f t="shared" ca="1" si="40"/>
        <v>82.308528784648189</v>
      </c>
      <c r="P55" s="120">
        <f t="shared" ca="1" si="41"/>
        <v>79.016780680315549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469000</v>
      </c>
      <c r="M57" s="50">
        <f ca="1">IFERROR(__xludf.DUMMYFUNCTION("IMPORTRANGE(""https://docs.google.com/spreadsheets/d/1Yj_ptqi66GCucihVvJfMjLAmec39IyEx_6qawtMGysU/edit?usp=sharing"",""สบก!Z20"")"),488538)</f>
        <v>488538</v>
      </c>
      <c r="N57" s="50">
        <f ca="1">IFERROR(__xludf.DUMMYFUNCTION("IMPORTRANGE(""https://docs.google.com/spreadsheets/d/1Yj_ptqi66GCucihVvJfMjLAmec39IyEx_6qawtMGysU/edit?usp=sharing"",""สบก!AA20"")"),386027)</f>
        <v>386027</v>
      </c>
      <c r="O57" s="39">
        <f ca="1">IF(L57&gt;0,N57*100/L57,0)</f>
        <v>82.308528784648189</v>
      </c>
      <c r="P57" s="39">
        <f ca="1">IF(M57&gt;0,N57*100/M57,0)</f>
        <v>79.016780680315549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IFERROR(__xludf.DUMMYFUNCTION("IMPORTRANGE(""https://docs.google.com/spreadsheets/d/1Yj_ptqi66GCucihVvJfMjLAmec39IyEx_6qawtMGysU/edit?usp=sharing"",""สบก!V20"")"),469000)</f>
        <v>469000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IFERROR(__xludf.DUMMYFUNCTION("IMPORTRANGE(""https://docs.google.com/spreadsheets/d/1Yj_ptqi66GCucihVvJfMjLAmec39IyEx_6qawtMGysU/edit?usp=sharing"",""สบก!W20"")"),0)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IFERROR(__xludf.DUMMYFUNCTION("IMPORTRANGE(""https://docs.google.com/spreadsheets/d/1Yj_ptqi66GCucihVvJfMjLAmec39IyEx_6qawtMGysU/edit?usp=sharing"",""สบก!X20"")"),0)</f>
        <v>0</v>
      </c>
      <c r="M61" s="50"/>
      <c r="N61" s="50">
        <f ca="1">IFERROR(__xludf.DUMMYFUNCTION("IMPORTRANGE(""https://docs.google.com/spreadsheets/d/1Yj_ptqi66GCucihVvJfMjLAmec39IyEx_6qawtMGysU/edit?usp=sharing"",""สบก!AB20"")"),0)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IFERROR(__xludf.DUMMYFUNCTION("IMPORTRANGE(""https://docs.google.com/spreadsheets/d/11923uPwbBZFjjGgGUA6NLw09EwE0CqkOc4q9oUmW1yo/edit?usp=sharing"",""กำแพงเพชร!I9"")"),0)</f>
        <v>0</v>
      </c>
      <c r="J64" s="142">
        <f ca="1">IFERROR(__xludf.DUMMYFUNCTION("IMPORTRANGE(""https://docs.google.com/spreadsheets/d/11923uPwbBZFjjGgGUA6NLw09EwE0CqkOc4q9oUmW1yo/edit?usp=sharing"",""กำแพงเพชร!J9"")"),0)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IFERROR(__xludf.DUMMYFUNCTION("IMPORTRANGE(""https://docs.google.com/spreadsheets/d/11923uPwbBZFjjGgGUA6NLw09EwE0CqkOc4q9oUmW1yo/edit?usp=sharing"",""กำแพงเพชร!I10"")"),0)</f>
        <v>0</v>
      </c>
      <c r="J65" s="142">
        <f ca="1">IFERROR(__xludf.DUMMYFUNCTION("IMPORTRANGE(""https://docs.google.com/spreadsheets/d/11923uPwbBZFjjGgGUA6NLw09EwE0CqkOc4q9oUmW1yo/edit?usp=sharing"",""กำแพงเพชร!J10"")"),0)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IFERROR(__xludf.DUMMYFUNCTION("IMPORTRANGE(""https://docs.google.com/spreadsheets/d/1Yj_ptqi66GCucihVvJfMjLAmec39IyEx_6qawtMGysU/edit?usp=sharing"",""สบก!AI20"")"),0)</f>
        <v>0</v>
      </c>
      <c r="N70" s="168">
        <f ca="1">IFERROR(__xludf.DUMMYFUNCTION("IMPORTRANGE(""https://docs.google.com/spreadsheets/d/1Yj_ptqi66GCucihVvJfMjLAmec39IyEx_6qawtMGysU/edit?usp=sharing"",""สบก!AJ20"")"),0)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IFERROR(__xludf.DUMMYFUNCTION("IMPORTRANGE(""https://docs.google.com/spreadsheets/d/1Yj_ptqi66GCucihVvJfMjLAmec39IyEx_6qawtMGysU/edit?usp=sharing"",""สบก!AE20"")"),0)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IFERROR(__xludf.DUMMYFUNCTION("IMPORTRANGE(""https://docs.google.com/spreadsheets/d/1Yj_ptqi66GCucihVvJfMjLAmec39IyEx_6qawtMGysU/edit?usp=sharing"",""สบก!AF20"")"),0)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IFERROR(__xludf.DUMMYFUNCTION("IMPORTRANGE(""https://docs.google.com/spreadsheets/d/1Yj_ptqi66GCucihVvJfMjLAmec39IyEx_6qawtMGysU/edit?usp=sharing"",""สบก!AG20"")"),0)</f>
        <v>0</v>
      </c>
      <c r="M74" s="50"/>
      <c r="N74" s="50">
        <f ca="1">IFERROR(__xludf.DUMMYFUNCTION("IMPORTRANGE(""https://docs.google.com/spreadsheets/d/1Yj_ptqi66GCucihVvJfMjLAmec39IyEx_6qawtMGysU/edit?usp=sharing"",""สบก!AK20"")"),0)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IFERROR(__xludf.DUMMYFUNCTION("IMPORTRANGE(""https://docs.google.com/spreadsheets/d/11923uPwbBZFjjGgGUA6NLw09EwE0CqkOc4q9oUmW1yo/edit?usp=sharing"",""กำแพงเพชร!J16"")"),0)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IFERROR(__xludf.DUMMYFUNCTION("IMPORTRANGE(""https://docs.google.com/spreadsheets/d/11923uPwbBZFjjGgGUA6NLw09EwE0CqkOc4q9oUmW1yo/edit?usp=sharing"",""กำแพงเพชร!J17"")"),0)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IFERROR(__xludf.DUMMYFUNCTION("IMPORTRANGE(""https://docs.google.com/spreadsheets/d/11923uPwbBZFjjGgGUA6NLw09EwE0CqkOc4q9oUmW1yo/edit?usp=sharing"",""กำแพงเพชร!J18"")"),0)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IFERROR(__xludf.DUMMYFUNCTION("IMPORTRANGE(""https://docs.google.com/spreadsheets/d/11923uPwbBZFjjGgGUA6NLw09EwE0CqkOc4q9oUmW1yo/edit?usp=sharing"",""กำแพงเพชร!J19"")"),0)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IFERROR(__xludf.DUMMYFUNCTION("IMPORTRANGE(""https://docs.google.com/spreadsheets/d/11923uPwbBZFjjGgGUA6NLw09EwE0CqkOc4q9oUmW1yo/edit?usp=sharing"",""กำแพงเพชร!I20"")"),0)</f>
        <v>0</v>
      </c>
      <c r="J80" s="200">
        <f ca="1">IFERROR(__xludf.DUMMYFUNCTION("IMPORTRANGE(""https://docs.google.com/spreadsheets/d/11923uPwbBZFjjGgGUA6NLw09EwE0CqkOc4q9oUmW1yo/edit?usp=sharing"",""กำแพงเพชร!J20"")"),0)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IFERROR(__xludf.DUMMYFUNCTION("IMPORTRANGE(""https://docs.google.com/spreadsheets/d/11923uPwbBZFjjGgGUA6NLw09EwE0CqkOc4q9oUmW1yo/edit?usp=sharing"",""กำแพงเพชร!I21"")"),0)</f>
        <v>0</v>
      </c>
      <c r="J81" s="200">
        <f ca="1">IFERROR(__xludf.DUMMYFUNCTION("IMPORTRANGE(""https://docs.google.com/spreadsheets/d/11923uPwbBZFjjGgGUA6NLw09EwE0CqkOc4q9oUmW1yo/edit?usp=sharing"",""กำแพงเพชร!J21"")"),0)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IFERROR(__xludf.DUMMYFUNCTION("IMPORTRANGE(""https://docs.google.com/spreadsheets/d/11923uPwbBZFjjGgGUA6NLw09EwE0CqkOc4q9oUmW1yo/edit?usp=sharing"",""กำแพงเพชร!I22"")"),0)</f>
        <v>0</v>
      </c>
      <c r="J82" s="203">
        <f ca="1">IFERROR(__xludf.DUMMYFUNCTION("IMPORTRANGE(""https://docs.google.com/spreadsheets/d/11923uPwbBZFjjGgGUA6NLw09EwE0CqkOc4q9oUmW1yo/edit?usp=sharing"",""กำแพงเพชร!J22"")"),0)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IFERROR(__xludf.DUMMYFUNCTION("IMPORTRANGE(""https://docs.google.com/spreadsheets/d/11923uPwbBZFjjGgGUA6NLw09EwE0CqkOc4q9oUmW1yo/edit?usp=sharing"",""กำแพงเพชร!I23"")"),0)</f>
        <v>0</v>
      </c>
      <c r="J83" s="203">
        <f ca="1">IFERROR(__xludf.DUMMYFUNCTION("IMPORTRANGE(""https://docs.google.com/spreadsheets/d/11923uPwbBZFjjGgGUA6NLw09EwE0CqkOc4q9oUmW1yo/edit?usp=sharing"",""กำแพงเพชร!J23"")"),0)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IFERROR(__xludf.DUMMYFUNCTION("IMPORTRANGE(""https://docs.google.com/spreadsheets/d/11923uPwbBZFjjGgGUA6NLw09EwE0CqkOc4q9oUmW1yo/edit?usp=sharing"",""กำแพงเพชร!I24"")"),0)</f>
        <v>0</v>
      </c>
      <c r="J84" s="188">
        <f ca="1">IFERROR(__xludf.DUMMYFUNCTION("IMPORTRANGE(""https://docs.google.com/spreadsheets/d/11923uPwbBZFjjGgGUA6NLw09EwE0CqkOc4q9oUmW1yo/edit?usp=sharing"",""กำแพงเพชร!J24"")"),0)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IFERROR(__xludf.DUMMYFUNCTION("IMPORTRANGE(""https://docs.google.com/spreadsheets/d/11923uPwbBZFjjGgGUA6NLw09EwE0CqkOc4q9oUmW1yo/edit?usp=sharing"",""กำแพงเพชร!I25"")"),0)</f>
        <v>0</v>
      </c>
      <c r="J85" s="188">
        <f ca="1">IFERROR(__xludf.DUMMYFUNCTION("IMPORTRANGE(""https://docs.google.com/spreadsheets/d/11923uPwbBZFjjGgGUA6NLw09EwE0CqkOc4q9oUmW1yo/edit?usp=sharing"",""กำแพงเพชร!J25"")"),0)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IFERROR(__xludf.DUMMYFUNCTION("IMPORTRANGE(""https://docs.google.com/spreadsheets/d/11923uPwbBZFjjGgGUA6NLw09EwE0CqkOc4q9oUmW1yo/edit?usp=sharing"",""กำแพงเพชร!I26"")"),0)</f>
        <v>0</v>
      </c>
      <c r="J86" s="203">
        <f ca="1">IFERROR(__xludf.DUMMYFUNCTION("IMPORTRANGE(""https://docs.google.com/spreadsheets/d/11923uPwbBZFjjGgGUA6NLw09EwE0CqkOc4q9oUmW1yo/edit?usp=sharing"",""กำแพงเพชร!J26"")"),0)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IFERROR(__xludf.DUMMYFUNCTION("IMPORTRANGE(""https://docs.google.com/spreadsheets/d/11923uPwbBZFjjGgGUA6NLw09EwE0CqkOc4q9oUmW1yo/edit?usp=sharing"",""กำแพงเพชร!I27"")"),0)</f>
        <v>0</v>
      </c>
      <c r="J87" s="203">
        <f ca="1">IFERROR(__xludf.DUMMYFUNCTION("IMPORTRANGE(""https://docs.google.com/spreadsheets/d/11923uPwbBZFjjGgGUA6NLw09EwE0CqkOc4q9oUmW1yo/edit?usp=sharing"",""กำแพงเพชร!J27"")"),0)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IFERROR(__xludf.DUMMYFUNCTION("IMPORTRANGE(""https://docs.google.com/spreadsheets/d/11923uPwbBZFjjGgGUA6NLw09EwE0CqkOc4q9oUmW1yo/edit?usp=sharing"",""กำแพงเพชร!I28"")"),0)</f>
        <v>0</v>
      </c>
      <c r="J88" s="203">
        <f ca="1">IFERROR(__xludf.DUMMYFUNCTION("IMPORTRANGE(""https://docs.google.com/spreadsheets/d/11923uPwbBZFjjGgGUA6NLw09EwE0CqkOc4q9oUmW1yo/edit?usp=sharing"",""กำแพงเพชร!J28"")"),0)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IFERROR(__xludf.DUMMYFUNCTION("IMPORTRANGE(""https://docs.google.com/spreadsheets/d/11923uPwbBZFjjGgGUA6NLw09EwE0CqkOc4q9oUmW1yo/edit?usp=sharing"",""กำแพงเพชร!J29"")"),0)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IFERROR(__xludf.DUMMYFUNCTION("IMPORTRANGE(""https://docs.google.com/spreadsheets/d/11923uPwbBZFjjGgGUA6NLw09EwE0CqkOc4q9oUmW1yo/edit?usp=sharing"",""กำแพงเพชร!J30"")"),0)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IFERROR(__xludf.DUMMYFUNCTION("IMPORTRANGE(""https://docs.google.com/spreadsheets/d/11923uPwbBZFjjGgGUA6NLw09EwE0CqkOc4q9oUmW1yo/edit?usp=sharing"",""กำแพงเพชร!I32"")"),0)</f>
        <v>0</v>
      </c>
      <c r="J92" s="142">
        <f ca="1">IFERROR(__xludf.DUMMYFUNCTION("IMPORTRANGE(""https://docs.google.com/spreadsheets/d/11923uPwbBZFjjGgGUA6NLw09EwE0CqkOc4q9oUmW1yo/edit?usp=sharing"",""กำแพงเพชร!J32"")"),0)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IFERROR(__xludf.DUMMYFUNCTION("IMPORTRANGE(""https://docs.google.com/spreadsheets/d/11923uPwbBZFjjGgGUA6NLw09EwE0CqkOc4q9oUmW1yo/edit?usp=sharing"",""กำแพงเพชร!I33"")"),0)</f>
        <v>0</v>
      </c>
      <c r="J93" s="142">
        <f ca="1">IFERROR(__xludf.DUMMYFUNCTION("IMPORTRANGE(""https://docs.google.com/spreadsheets/d/11923uPwbBZFjjGgGUA6NLw09EwE0CqkOc4q9oUmW1yo/edit?usp=sharing"",""กำแพงเพชร!J33"")"),0)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IFERROR(__xludf.DUMMYFUNCTION("IMPORTRANGE(""https://docs.google.com/spreadsheets/d/1Yj_ptqi66GCucihVvJfMjLAmec39IyEx_6qawtMGysU/edit?usp=sharing"",""สบก!AR20"")"),0)</f>
        <v>0</v>
      </c>
      <c r="N98" s="168">
        <f ca="1">IFERROR(__xludf.DUMMYFUNCTION("IMPORTRANGE(""https://docs.google.com/spreadsheets/d/1Yj_ptqi66GCucihVvJfMjLAmec39IyEx_6qawtMGysU/edit?usp=sharing"",""สบก!AS20"")"),0)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IFERROR(__xludf.DUMMYFUNCTION("IMPORTRANGE(""https://docs.google.com/spreadsheets/d/1Yj_ptqi66GCucihVvJfMjLAmec39IyEx_6qawtMGysU/edit?usp=sharing"",""สบก!AN20"")"),0)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IFERROR(__xludf.DUMMYFUNCTION("IMPORTRANGE(""https://docs.google.com/spreadsheets/d/1Yj_ptqi66GCucihVvJfMjLAmec39IyEx_6qawtMGysU/edit?usp=sharing"",""สบก!AO20"")"),0)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IFERROR(__xludf.DUMMYFUNCTION("IMPORTRANGE(""https://docs.google.com/spreadsheets/d/1Yj_ptqi66GCucihVvJfMjLAmec39IyEx_6qawtMGysU/edit?usp=sharing"",""สบก!AP20"")"),0)</f>
        <v>0</v>
      </c>
      <c r="M102" s="50"/>
      <c r="N102" s="50">
        <f ca="1">IFERROR(__xludf.DUMMYFUNCTION("IMPORTRANGE(""https://docs.google.com/spreadsheets/d/1Yj_ptqi66GCucihVvJfMjLAmec39IyEx_6qawtMGysU/edit?usp=sharing"",""สบก!AT20"")"),0)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IFERROR(__xludf.DUMMYFUNCTION("IMPORTRANGE(""https://docs.google.com/spreadsheets/d/11923uPwbBZFjjGgGUA6NLw09EwE0CqkOc4q9oUmW1yo/edit?usp=sharing"",""กำแพงเพชร!J39"")"),0)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IFERROR(__xludf.DUMMYFUNCTION("IMPORTRANGE(""https://docs.google.com/spreadsheets/d/11923uPwbBZFjjGgGUA6NLw09EwE0CqkOc4q9oUmW1yo/edit?usp=sharing"",""กำแพงเพชร!J40"")"),0)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IFERROR(__xludf.DUMMYFUNCTION("IMPORTRANGE(""https://docs.google.com/spreadsheets/d/11923uPwbBZFjjGgGUA6NLw09EwE0CqkOc4q9oUmW1yo/edit?usp=sharing"",""กำแพงเพชร!J41"")"),0)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IFERROR(__xludf.DUMMYFUNCTION("IMPORTRANGE(""https://docs.google.com/spreadsheets/d/11923uPwbBZFjjGgGUA6NLw09EwE0CqkOc4q9oUmW1yo/edit?usp=sharing"",""กำแพงเพชร!J42"")"),0)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IFERROR(__xludf.DUMMYFUNCTION("IMPORTRANGE(""https://docs.google.com/spreadsheets/d/11923uPwbBZFjjGgGUA6NLw09EwE0CqkOc4q9oUmW1yo/edit?usp=sharing"",""กำแพงเพชร!I43"")"),0)</f>
        <v>0</v>
      </c>
      <c r="J108" s="203">
        <f ca="1">IFERROR(__xludf.DUMMYFUNCTION("IMPORTRANGE(""https://docs.google.com/spreadsheets/d/11923uPwbBZFjjGgGUA6NLw09EwE0CqkOc4q9oUmW1yo/edit?usp=sharing"",""กำแพงเพชร!J43"")"),0)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IFERROR(__xludf.DUMMYFUNCTION("IMPORTRANGE(""https://docs.google.com/spreadsheets/d/11923uPwbBZFjjGgGUA6NLw09EwE0CqkOc4q9oUmW1yo/edit?usp=sharing"",""กำแพงเพชร!I44"")"),0)</f>
        <v>0</v>
      </c>
      <c r="J109" s="203">
        <f ca="1">IFERROR(__xludf.DUMMYFUNCTION("IMPORTRANGE(""https://docs.google.com/spreadsheets/d/11923uPwbBZFjjGgGUA6NLw09EwE0CqkOc4q9oUmW1yo/edit?usp=sharing"",""กำแพงเพชร!J44"")"),0)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IFERROR(__xludf.DUMMYFUNCTION("IMPORTRANGE(""https://docs.google.com/spreadsheets/d/11923uPwbBZFjjGgGUA6NLw09EwE0CqkOc4q9oUmW1yo/edit?usp=sharing"",""กำแพงเพชร!I45"")"),0)</f>
        <v>0</v>
      </c>
      <c r="J110" s="203">
        <f ca="1">IFERROR(__xludf.DUMMYFUNCTION("IMPORTRANGE(""https://docs.google.com/spreadsheets/d/11923uPwbBZFjjGgGUA6NLw09EwE0CqkOc4q9oUmW1yo/edit?usp=sharing"",""กำแพงเพชร!J45"")"),0)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IFERROR(__xludf.DUMMYFUNCTION("IMPORTRANGE(""https://docs.google.com/spreadsheets/d/11923uPwbBZFjjGgGUA6NLw09EwE0CqkOc4q9oUmW1yo/edit?usp=sharing"",""กำแพงเพชร!I46"")"),0)</f>
        <v>0</v>
      </c>
      <c r="J111" s="203">
        <f ca="1">IFERROR(__xludf.DUMMYFUNCTION("IMPORTRANGE(""https://docs.google.com/spreadsheets/d/11923uPwbBZFjjGgGUA6NLw09EwE0CqkOc4q9oUmW1yo/edit?usp=sharing"",""กำแพงเพชร!J46"")"),0)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IFERROR(__xludf.DUMMYFUNCTION("IMPORTRANGE(""https://docs.google.com/spreadsheets/d/11923uPwbBZFjjGgGUA6NLw09EwE0CqkOc4q9oUmW1yo/edit?usp=sharing"",""กำแพงเพชร!I47"")"),0)</f>
        <v>0</v>
      </c>
      <c r="J112" s="203">
        <f ca="1">IFERROR(__xludf.DUMMYFUNCTION("IMPORTRANGE(""https://docs.google.com/spreadsheets/d/11923uPwbBZFjjGgGUA6NLw09EwE0CqkOc4q9oUmW1yo/edit?usp=sharing"",""กำแพงเพชร!J47"")"),0)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IFERROR(__xludf.DUMMYFUNCTION("IMPORTRANGE(""https://docs.google.com/spreadsheets/d/11923uPwbBZFjjGgGUA6NLw09EwE0CqkOc4q9oUmW1yo/edit?usp=sharing"",""กำแพงเพชร!I48"")"),0)</f>
        <v>0</v>
      </c>
      <c r="J113" s="203">
        <f ca="1">IFERROR(__xludf.DUMMYFUNCTION("IMPORTRANGE(""https://docs.google.com/spreadsheets/d/11923uPwbBZFjjGgGUA6NLw09EwE0CqkOc4q9oUmW1yo/edit?usp=sharing"",""กำแพงเพชร!J48"")"),0)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IFERROR(__xludf.DUMMYFUNCTION("IMPORTRANGE(""https://docs.google.com/spreadsheets/d/11923uPwbBZFjjGgGUA6NLw09EwE0CqkOc4q9oUmW1yo/edit?usp=sharing"",""กำแพงเพชร!J49"")"),0)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IFERROR(__xludf.DUMMYFUNCTION("IMPORTRANGE(""https://docs.google.com/spreadsheets/d/11923uPwbBZFjjGgGUA6NLw09EwE0CqkOc4q9oUmW1yo/edit?usp=sharing"",""กำแพงเพชร!J50"")"),0)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IFERROR(__xludf.DUMMYFUNCTION("IMPORTRANGE(""https://docs.google.com/spreadsheets/d/11923uPwbBZFjjGgGUA6NLw09EwE0CqkOc4q9oUmW1yo/edit?usp=sharing"",""กำแพงเพชร!I52"")"),20)</f>
        <v>20</v>
      </c>
      <c r="J117" s="142">
        <f ca="1">IFERROR(__xludf.DUMMYFUNCTION("IMPORTRANGE(""https://docs.google.com/spreadsheets/d/11923uPwbBZFjjGgGUA6NLw09EwE0CqkOc4q9oUmW1yo/edit?usp=sharing"",""กำแพงเพชร!J52"")"),20)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66080</v>
      </c>
      <c r="O118" s="151">
        <f t="shared" ref="O118:O120" ca="1" si="59">IF(L118&gt;0,N118*100/L118,0)</f>
        <v>80.155264434740417</v>
      </c>
      <c r="P118" s="151">
        <f t="shared" ref="P118:P120" ca="1" si="60">IF(M118&gt;0,N118*100/M118,0)</f>
        <v>80.155264434740417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66080</v>
      </c>
      <c r="O120" s="156">
        <f t="shared" ca="1" si="59"/>
        <v>80.155264434740417</v>
      </c>
      <c r="P120" s="156">
        <f t="shared" ca="1" si="60"/>
        <v>80.155264434740417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IFERROR(__xludf.DUMMYFUNCTION("IMPORTRANGE(""https://docs.google.com/spreadsheets/d/1Yj_ptqi66GCucihVvJfMjLAmec39IyEx_6qawtMGysU/edit?usp=sharing"",""สบก!BA20"")"),82440)</f>
        <v>82440</v>
      </c>
      <c r="N122" s="168">
        <f ca="1">IFERROR(__xludf.DUMMYFUNCTION("IMPORTRANGE(""https://docs.google.com/spreadsheets/d/1Yj_ptqi66GCucihVvJfMjLAmec39IyEx_6qawtMGysU/edit?usp=sharing"",""สบก!BB20"")"),66080)</f>
        <v>66080</v>
      </c>
      <c r="O122" s="168">
        <f ca="1">IF(L122&gt;0,N122*100/L122,0)</f>
        <v>80.155264434740417</v>
      </c>
      <c r="P122" s="168">
        <f ca="1">IF(M122&gt;0,N122*100/M122,0)</f>
        <v>80.155264434740417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IFERROR(__xludf.DUMMYFUNCTION("IMPORTRANGE(""https://docs.google.com/spreadsheets/d/1Yj_ptqi66GCucihVvJfMjLAmec39IyEx_6qawtMGysU/edit?usp=sharing"",""สบก!AW20"")"),0)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IFERROR(__xludf.DUMMYFUNCTION("IMPORTRANGE(""https://docs.google.com/spreadsheets/d/1Yj_ptqi66GCucihVvJfMjLAmec39IyEx_6qawtMGysU/edit?usp=sharing"",""สบก!AX20"")"),82440)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IFERROR(__xludf.DUMMYFUNCTION("IMPORTRANGE(""https://docs.google.com/spreadsheets/d/1Yj_ptqi66GCucihVvJfMjLAmec39IyEx_6qawtMGysU/edit?usp=sharing"",""สบก!AY20"")"),0)</f>
        <v>0</v>
      </c>
      <c r="M126" s="50"/>
      <c r="N126" s="50">
        <f ca="1">IFERROR(__xludf.DUMMYFUNCTION("IMPORTRANGE(""https://docs.google.com/spreadsheets/d/1Yj_ptqi66GCucihVvJfMjLAmec39IyEx_6qawtMGysU/edit?usp=sharing"",""สบก!BC20"")"),0)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IFERROR(__xludf.DUMMYFUNCTION("IMPORTRANGE(""https://docs.google.com/spreadsheets/d/11923uPwbBZFjjGgGUA6NLw09EwE0CqkOc4q9oUmW1yo/edit?usp=sharing"",""กำแพงเพชร!J58"")"),0)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IFERROR(__xludf.DUMMYFUNCTION("IMPORTRANGE(""https://docs.google.com/spreadsheets/d/11923uPwbBZFjjGgGUA6NLw09EwE0CqkOc4q9oUmW1yo/edit?usp=sharing"",""กำแพงเพชร!J59"")"),1)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IFERROR(__xludf.DUMMYFUNCTION("IMPORTRANGE(""https://docs.google.com/spreadsheets/d/11923uPwbBZFjjGgGUA6NLw09EwE0CqkOc4q9oUmW1yo/edit?usp=sharing"",""กำแพงเพชร!J60"")"),1)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IFERROR(__xludf.DUMMYFUNCTION("IMPORTRANGE(""https://docs.google.com/spreadsheets/d/11923uPwbBZFjjGgGUA6NLw09EwE0CqkOc4q9oUmW1yo/edit?usp=sharing"",""กำแพงเพชร!J61"")"),1)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IFERROR(__xludf.DUMMYFUNCTION("IMPORTRANGE(""https://docs.google.com/spreadsheets/d/11923uPwbBZFjjGgGUA6NLw09EwE0CqkOc4q9oUmW1yo/edit?usp=sharing"",""กำแพงเพชร!I62"")"),20)</f>
        <v>20</v>
      </c>
      <c r="J132" s="203">
        <f ca="1">IFERROR(__xludf.DUMMYFUNCTION("IMPORTRANGE(""https://docs.google.com/spreadsheets/d/11923uPwbBZFjjGgGUA6NLw09EwE0CqkOc4q9oUmW1yo/edit?usp=sharing"",""กำแพงเพชร!J62"")"),20)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IFERROR(__xludf.DUMMYFUNCTION("IMPORTRANGE(""https://docs.google.com/spreadsheets/d/11923uPwbBZFjjGgGUA6NLw09EwE0CqkOc4q9oUmW1yo/edit?usp=sharing"",""กำแพงเพชร!I63"")"),20)</f>
        <v>20</v>
      </c>
      <c r="J133" s="203">
        <f ca="1">IFERROR(__xludf.DUMMYFUNCTION("IMPORTRANGE(""https://docs.google.com/spreadsheets/d/11923uPwbBZFjjGgGUA6NLw09EwE0CqkOc4q9oUmW1yo/edit?usp=sharing"",""กำแพงเพชร!J63"")"),20)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IFERROR(__xludf.DUMMYFUNCTION("IMPORTRANGE(""https://docs.google.com/spreadsheets/d/11923uPwbBZFjjGgGUA6NLw09EwE0CqkOc4q9oUmW1yo/edit?usp=sharing"",""กำแพงเพชร!J64"")"),0)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IFERROR(__xludf.DUMMYFUNCTION("IMPORTRANGE(""https://docs.google.com/spreadsheets/d/11923uPwbBZFjjGgGUA6NLw09EwE0CqkOc4q9oUmW1yo/edit?usp=sharing"",""กำแพงเพชร!J65"")"),0)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IFERROR(__xludf.DUMMYFUNCTION("IMPORTRANGE(""https://docs.google.com/spreadsheets/d/11923uPwbBZFjjGgGUA6NLw09EwE0CqkOc4q9oUmW1yo/edit?usp=sharing"",""กำแพงเพชร!I68"")"),0)</f>
        <v>0</v>
      </c>
      <c r="J138" s="267">
        <f ca="1">IFERROR(__xludf.DUMMYFUNCTION("IMPORTRANGE(""https://docs.google.com/spreadsheets/d/11923uPwbBZFjjGgGUA6NLw09EwE0CqkOc4q9oUmW1yo/edit?usp=sharing"",""กำแพงเพชร!J68"")"),0)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206400</v>
      </c>
      <c r="N140" s="152">
        <f t="shared" ca="1" si="64"/>
        <v>149655</v>
      </c>
      <c r="O140" s="151">
        <f t="shared" ref="O140:O142" ca="1" si="65">IF(L140&gt;0,N140*100/L140,0)</f>
        <v>216.89130434782609</v>
      </c>
      <c r="P140" s="151">
        <f t="shared" ref="P140:P142" ca="1" si="66">IF(M140&gt;0,N140*100/M140,0)</f>
        <v>72.507267441860463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206400</v>
      </c>
      <c r="N142" s="88">
        <f t="shared" ca="1" si="68"/>
        <v>149655</v>
      </c>
      <c r="O142" s="156">
        <f t="shared" ca="1" si="65"/>
        <v>216.89130434782609</v>
      </c>
      <c r="P142" s="156">
        <f t="shared" ca="1" si="66"/>
        <v>72.507267441860463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IFERROR(__xludf.DUMMYFUNCTION("IMPORTRANGE(""https://docs.google.com/spreadsheets/d/1Yj_ptqi66GCucihVvJfMjLAmec39IyEx_6qawtMGysU/edit?usp=sharing"",""สบก!BJ20"")"),206400)</f>
        <v>206400</v>
      </c>
      <c r="N144" s="168">
        <f ca="1">IFERROR(__xludf.DUMMYFUNCTION("IMPORTRANGE(""https://docs.google.com/spreadsheets/d/1Yj_ptqi66GCucihVvJfMjLAmec39IyEx_6qawtMGysU/edit?usp=sharing"",""สบก!BK20"")"),149655)</f>
        <v>149655</v>
      </c>
      <c r="O144" s="168">
        <f ca="1">IF(L144&gt;0,N144*100/L144,0)</f>
        <v>216.89130434782609</v>
      </c>
      <c r="P144" s="168">
        <f ca="1">IF(M144&gt;0,N144*100/M144,0)</f>
        <v>72.507267441860463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IFERROR(__xludf.DUMMYFUNCTION("IMPORTRANGE(""https://docs.google.com/spreadsheets/d/1Yj_ptqi66GCucihVvJfMjLAmec39IyEx_6qawtMGysU/edit?usp=sharing"",""สบก!BF20"")"),0)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IFERROR(__xludf.DUMMYFUNCTION("IMPORTRANGE(""https://docs.google.com/spreadsheets/d/1Yj_ptqi66GCucihVvJfMjLAmec39IyEx_6qawtMGysU/edit?usp=sharing"",""สบก!BG20"")"),69000)</f>
        <v>69000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IFERROR(__xludf.DUMMYFUNCTION("IMPORTRANGE(""https://docs.google.com/spreadsheets/d/1Yj_ptqi66GCucihVvJfMjLAmec39IyEx_6qawtMGysU/edit?usp=sharing"",""สบก!BH20"")"),0)</f>
        <v>0</v>
      </c>
      <c r="M148" s="50"/>
      <c r="N148" s="50">
        <f ca="1">IFERROR(__xludf.DUMMYFUNCTION("IMPORTRANGE(""https://docs.google.com/spreadsheets/d/1Yj_ptqi66GCucihVvJfMjLAmec39IyEx_6qawtMGysU/edit?usp=sharing"",""สบก!BL20"")"),0)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IFERROR(__xludf.DUMMYFUNCTION("IMPORTRANGE(""https://docs.google.com/spreadsheets/d/11923uPwbBZFjjGgGUA6NLw09EwE0CqkOc4q9oUmW1yo/edit?usp=sharing"",""กำแพงเพชร!I74"")"),4)</f>
        <v>4</v>
      </c>
      <c r="J149" s="275">
        <f ca="1">IFERROR(__xludf.DUMMYFUNCTION("IMPORTRANGE(""https://docs.google.com/spreadsheets/d/11923uPwbBZFjjGgGUA6NLw09EwE0CqkOc4q9oUmW1yo/edit?usp=sharing"",""กำแพงเพชร!J74"")"),3)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IFERROR(__xludf.DUMMYFUNCTION("IMPORTRANGE(""https://docs.google.com/spreadsheets/d/11923uPwbBZFjjGgGUA6NLw09EwE0CqkOc4q9oUmW1yo/edit?usp=sharing"",""กำแพงเพชร!J79"")"),0)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IFERROR(__xludf.DUMMYFUNCTION("IMPORTRANGE(""https://docs.google.com/spreadsheets/d/11923uPwbBZFjjGgGUA6NLw09EwE0CqkOc4q9oUmW1yo/edit?usp=sharing"",""กำแพงเพชร!J80"")"),1)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IFERROR(__xludf.DUMMYFUNCTION("IMPORTRANGE(""https://docs.google.com/spreadsheets/d/11923uPwbBZFjjGgGUA6NLw09EwE0CqkOc4q9oUmW1yo/edit?usp=sharing"",""กำแพงเพชร!J81"")"),1)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IFERROR(__xludf.DUMMYFUNCTION("IMPORTRANGE(""https://docs.google.com/spreadsheets/d/11923uPwbBZFjjGgGUA6NLw09EwE0CqkOc4q9oUmW1yo/edit?usp=sharing"",""กำแพงเพชร!J82"")"),1)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IFERROR(__xludf.DUMMYFUNCTION("IMPORTRANGE(""https://docs.google.com/spreadsheets/d/11923uPwbBZFjjGgGUA6NLw09EwE0CqkOc4q9oUmW1yo/edit?usp=sharing"",""กำแพงเพชร!I83"")"),4)</f>
        <v>4</v>
      </c>
      <c r="J158" s="188">
        <f ca="1">IFERROR(__xludf.DUMMYFUNCTION("IMPORTRANGE(""https://docs.google.com/spreadsheets/d/11923uPwbBZFjjGgGUA6NLw09EwE0CqkOc4q9oUmW1yo/edit?usp=sharing"",""กำแพงเพชร!J83"")"),3)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IFERROR(__xludf.DUMMYFUNCTION("IMPORTRANGE(""https://docs.google.com/spreadsheets/d/11923uPwbBZFjjGgGUA6NLw09EwE0CqkOc4q9oUmW1yo/edit?usp=sharing"",""กำแพงเพชร!J84"")"),78)</f>
        <v>78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IFERROR(__xludf.DUMMYFUNCTION("IMPORTRANGE(""https://docs.google.com/spreadsheets/d/11923uPwbBZFjjGgGUA6NLw09EwE0CqkOc4q9oUmW1yo/edit?usp=sharing"",""กำแพงเพชร!J85"")"),78)</f>
        <v>78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IFERROR(__xludf.DUMMYFUNCTION("IMPORTRANGE(""https://docs.google.com/spreadsheets/d/11923uPwbBZFjjGgGUA6NLw09EwE0CqkOc4q9oUmW1yo/edit?usp=sharing"",""กำแพงเพชร!J86"")"),0)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IFERROR(__xludf.DUMMYFUNCTION("IMPORTRANGE(""https://docs.google.com/spreadsheets/d/11923uPwbBZFjjGgGUA6NLw09EwE0CqkOc4q9oUmW1yo/edit?usp=sharing"",""กำแพงเพชร!J87"")"),0)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IFERROR(__xludf.DUMMYFUNCTION("IMPORTRANGE(""https://docs.google.com/spreadsheets/d/11923uPwbBZFjjGgGUA6NLw09EwE0CqkOc4q9oUmW1yo/edit?usp=sharing"",""กำแพงเพชร!J88"")"),0)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IFERROR(__xludf.DUMMYFUNCTION("IMPORTRANGE(""https://docs.google.com/spreadsheets/d/11923uPwbBZFjjGgGUA6NLw09EwE0CqkOc4q9oUmW1yo/edit?usp=sharing"",""กำแพงเพชร!I89"")"),3)</f>
        <v>3</v>
      </c>
      <c r="J164" s="284">
        <f ca="1">IFERROR(__xludf.DUMMYFUNCTION("IMPORTRANGE(""https://docs.google.com/spreadsheets/d/11923uPwbBZFjjGgGUA6NLw09EwE0CqkOc4q9oUmW1yo/edit?usp=sharing"",""กำแพงเพชร!J89"")"),3)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IFERROR(__xludf.DUMMYFUNCTION("IMPORTRANGE(""https://docs.google.com/spreadsheets/d/11923uPwbBZFjjGgGUA6NLw09EwE0CqkOc4q9oUmW1yo/edit?usp=sharing"",""กำแพงเพชร!J94"")"),0)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IFERROR(__xludf.DUMMYFUNCTION("IMPORTRANGE(""https://docs.google.com/spreadsheets/d/11923uPwbBZFjjGgGUA6NLw09EwE0CqkOc4q9oUmW1yo/edit?usp=sharing"",""กำแพงเพชร!J95"")"),1)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IFERROR(__xludf.DUMMYFUNCTION("IMPORTRANGE(""https://docs.google.com/spreadsheets/d/11923uPwbBZFjjGgGUA6NLw09EwE0CqkOc4q9oUmW1yo/edit?usp=sharing"",""กำแพงเพชร!J96"")"),1)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IFERROR(__xludf.DUMMYFUNCTION("IMPORTRANGE(""https://docs.google.com/spreadsheets/d/11923uPwbBZFjjGgGUA6NLw09EwE0CqkOc4q9oUmW1yo/edit?usp=sharing"",""กำแพงเพชร!J97"")"),1)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IFERROR(__xludf.DUMMYFUNCTION("IMPORTRANGE(""https://docs.google.com/spreadsheets/d/11923uPwbBZFjjGgGUA6NLw09EwE0CqkOc4q9oUmW1yo/edit?usp=sharing"",""กำแพงเพชร!I98"")"),3)</f>
        <v>3</v>
      </c>
      <c r="J173" s="188">
        <f ca="1">IFERROR(__xludf.DUMMYFUNCTION("IMPORTRANGE(""https://docs.google.com/spreadsheets/d/11923uPwbBZFjjGgGUA6NLw09EwE0CqkOc4q9oUmW1yo/edit?usp=sharing"",""กำแพงเพชร!J98"")"),3)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IFERROR(__xludf.DUMMYFUNCTION("IMPORTRANGE(""https://docs.google.com/spreadsheets/d/11923uPwbBZFjjGgGUA6NLw09EwE0CqkOc4q9oUmW1yo/edit?usp=sharing"",""กำแพงเพชร!J99"")"),0)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IFERROR(__xludf.DUMMYFUNCTION("IMPORTRANGE(""https://docs.google.com/spreadsheets/d/11923uPwbBZFjjGgGUA6NLw09EwE0CqkOc4q9oUmW1yo/edit?usp=sharing"",""กำแพงเพชร!J100"")"),0)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IFERROR(__xludf.DUMMYFUNCTION("IMPORTRANGE(""https://docs.google.com/spreadsheets/d/11923uPwbBZFjjGgGUA6NLw09EwE0CqkOc4q9oUmW1yo/edit?usp=sharing"",""กำแพงเพชร!I101"")"),0)</f>
        <v>0</v>
      </c>
      <c r="J176" s="284">
        <f ca="1">IFERROR(__xludf.DUMMYFUNCTION("IMPORTRANGE(""https://docs.google.com/spreadsheets/d/11923uPwbBZFjjGgGUA6NLw09EwE0CqkOc4q9oUmW1yo/edit?usp=sharing"",""กำแพงเพชร!J101"")"),0)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IFERROR(__xludf.DUMMYFUNCTION("IMPORTRANGE(""https://docs.google.com/spreadsheets/d/11923uPwbBZFjjGgGUA6NLw09EwE0CqkOc4q9oUmW1yo/edit?usp=sharing"",""กำแพงเพชร!J106"")"),0)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IFERROR(__xludf.DUMMYFUNCTION("IMPORTRANGE(""https://docs.google.com/spreadsheets/d/11923uPwbBZFjjGgGUA6NLw09EwE0CqkOc4q9oUmW1yo/edit?usp=sharing"",""กำแพงเพชร!J107"")"),0)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IFERROR(__xludf.DUMMYFUNCTION("IMPORTRANGE(""https://docs.google.com/spreadsheets/d/11923uPwbBZFjjGgGUA6NLw09EwE0CqkOc4q9oUmW1yo/edit?usp=sharing"",""กำแพงเพชร!J108"")"),0)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IFERROR(__xludf.DUMMYFUNCTION("IMPORTRANGE(""https://docs.google.com/spreadsheets/d/11923uPwbBZFjjGgGUA6NLw09EwE0CqkOc4q9oUmW1yo/edit?usp=sharing"",""กำแพงเพชร!J109"")"),0)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IFERROR(__xludf.DUMMYFUNCTION("IMPORTRANGE(""https://docs.google.com/spreadsheets/d/11923uPwbBZFjjGgGUA6NLw09EwE0CqkOc4q9oUmW1yo/edit?usp=sharing"",""กำแพงเพชร!I110"")"),0)</f>
        <v>0</v>
      </c>
      <c r="J185" s="203">
        <f ca="1">IFERROR(__xludf.DUMMYFUNCTION("IMPORTRANGE(""https://docs.google.com/spreadsheets/d/11923uPwbBZFjjGgGUA6NLw09EwE0CqkOc4q9oUmW1yo/edit?usp=sharing"",""กำแพงเพชร!J110"")"),0)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IFERROR(__xludf.DUMMYFUNCTION("IMPORTRANGE(""https://docs.google.com/spreadsheets/d/11923uPwbBZFjjGgGUA6NLw09EwE0CqkOc4q9oUmW1yo/edit?usp=sharing"",""กำแพงเพชร!I111"")"),0)</f>
        <v>0</v>
      </c>
      <c r="J186" s="203">
        <f ca="1">IFERROR(__xludf.DUMMYFUNCTION("IMPORTRANGE(""https://docs.google.com/spreadsheets/d/11923uPwbBZFjjGgGUA6NLw09EwE0CqkOc4q9oUmW1yo/edit?usp=sharing"",""กำแพงเพชร!J111"")"),0)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IFERROR(__xludf.DUMMYFUNCTION("IMPORTRANGE(""https://docs.google.com/spreadsheets/d/11923uPwbBZFjjGgGUA6NLw09EwE0CqkOc4q9oUmW1yo/edit?usp=sharing"",""กำแพงเพชร!J112"")"),0)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IFERROR(__xludf.DUMMYFUNCTION("IMPORTRANGE(""https://docs.google.com/spreadsheets/d/11923uPwbBZFjjGgGUA6NLw09EwE0CqkOc4q9oUmW1yo/edit?usp=sharing"",""กำแพงเพชร!J113"")"),0)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IFERROR(__xludf.DUMMYFUNCTION("IMPORTRANGE(""https://docs.google.com/spreadsheets/d/11923uPwbBZFjjGgGUA6NLw09EwE0CqkOc4q9oUmW1yo/edit?usp=sharing"",""กำแพงเพชร!I114"")"),50000)</f>
        <v>50000</v>
      </c>
      <c r="J189" s="284">
        <f ca="1">IFERROR(__xludf.DUMMYFUNCTION("IMPORTRANGE(""https://docs.google.com/spreadsheets/d/11923uPwbBZFjjGgGUA6NLw09EwE0CqkOc4q9oUmW1yo/edit?usp=sharing"",""กำแพงเพชร!J114"")"),0)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IFERROR(__xludf.DUMMYFUNCTION("IMPORTRANGE(""https://docs.google.com/spreadsheets/d/11923uPwbBZFjjGgGUA6NLw09EwE0CqkOc4q9oUmW1yo/edit?usp=sharing"",""กำแพงเพชร!J119"")"),0)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IFERROR(__xludf.DUMMYFUNCTION("IMPORTRANGE(""https://docs.google.com/spreadsheets/d/11923uPwbBZFjjGgGUA6NLw09EwE0CqkOc4q9oUmW1yo/edit?usp=sharing"",""กำแพงเพชร!J120"")"),1)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IFERROR(__xludf.DUMMYFUNCTION("IMPORTRANGE(""https://docs.google.com/spreadsheets/d/11923uPwbBZFjjGgGUA6NLw09EwE0CqkOc4q9oUmW1yo/edit?usp=sharing"",""กำแพงเพชร!J121"")"),0)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IFERROR(__xludf.DUMMYFUNCTION("IMPORTRANGE(""https://docs.google.com/spreadsheets/d/11923uPwbBZFjjGgGUA6NLw09EwE0CqkOc4q9oUmW1yo/edit?usp=sharing"",""กำแพงเพชร!J122"")"),0)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IFERROR(__xludf.DUMMYFUNCTION("IMPORTRANGE(""https://docs.google.com/spreadsheets/d/11923uPwbBZFjjGgGUA6NLw09EwE0CqkOc4q9oUmW1yo/edit?usp=sharing"",""กำแพงเพชร!I124"")"),50000)</f>
        <v>50000</v>
      </c>
      <c r="J199" s="188">
        <f ca="1">IFERROR(__xludf.DUMMYFUNCTION("IMPORTRANGE(""https://docs.google.com/spreadsheets/d/11923uPwbBZFjjGgGUA6NLw09EwE0CqkOc4q9oUmW1yo/edit?usp=sharing"",""กำแพงเพชร!J124"")"),50000)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IFERROR(__xludf.DUMMYFUNCTION("IMPORTRANGE(""https://docs.google.com/spreadsheets/d/11923uPwbBZFjjGgGUA6NLw09EwE0CqkOc4q9oUmW1yo/edit?usp=sharing"",""กำแพงเพชร!I125"")"),50000)</f>
        <v>50000</v>
      </c>
      <c r="J200" s="188">
        <f ca="1">IFERROR(__xludf.DUMMYFUNCTION("IMPORTRANGE(""https://docs.google.com/spreadsheets/d/11923uPwbBZFjjGgGUA6NLw09EwE0CqkOc4q9oUmW1yo/edit?usp=sharing"",""กำแพงเพชร!J125"")"),0)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IFERROR(__xludf.DUMMYFUNCTION("IMPORTRANGE(""https://docs.google.com/spreadsheets/d/11923uPwbBZFjjGgGUA6NLw09EwE0CqkOc4q9oUmW1yo/edit?usp=sharing"",""กำแพงเพชร!I126"")"),0)</f>
        <v>0</v>
      </c>
      <c r="J201" s="188">
        <f ca="1">IFERROR(__xludf.DUMMYFUNCTION("IMPORTRANGE(""https://docs.google.com/spreadsheets/d/11923uPwbBZFjjGgGUA6NLw09EwE0CqkOc4q9oUmW1yo/edit?usp=sharing"",""กำแพงเพชร!J126"")"),0)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IFERROR(__xludf.DUMMYFUNCTION("IMPORTRANGE(""https://docs.google.com/spreadsheets/d/11923uPwbBZFjjGgGUA6NLw09EwE0CqkOc4q9oUmW1yo/edit?usp=sharing"",""กำแพงเพชร!J127"")"),0)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IFERROR(__xludf.DUMMYFUNCTION("IMPORTRANGE(""https://docs.google.com/spreadsheets/d/11923uPwbBZFjjGgGUA6NLw09EwE0CqkOc4q9oUmW1yo/edit?usp=sharing"",""กำแพงเพชร!J128"")"),0)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IFERROR(__xludf.DUMMYFUNCTION("IMPORTRANGE(""https://docs.google.com/spreadsheets/d/11923uPwbBZFjjGgGUA6NLw09EwE0CqkOc4q9oUmW1yo/edit?usp=sharing"",""กำแพงเพชร!I129"")"),0)</f>
        <v>0</v>
      </c>
      <c r="J204" s="284">
        <f ca="1">IFERROR(__xludf.DUMMYFUNCTION("IMPORTRANGE(""https://docs.google.com/spreadsheets/d/11923uPwbBZFjjGgGUA6NLw09EwE0CqkOc4q9oUmW1yo/edit?usp=sharing"",""กำแพงเพชร!J129"")"),0)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IFERROR(__xludf.DUMMYFUNCTION("IMPORTRANGE(""https://docs.google.com/spreadsheets/d/11923uPwbBZFjjGgGUA6NLw09EwE0CqkOc4q9oUmW1yo/edit?usp=sharing"",""กำแพงเพชร!J134"")"),0)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IFERROR(__xludf.DUMMYFUNCTION("IMPORTRANGE(""https://docs.google.com/spreadsheets/d/11923uPwbBZFjjGgGUA6NLw09EwE0CqkOc4q9oUmW1yo/edit?usp=sharing"",""กำแพงเพชร!J135"")"),0)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IFERROR(__xludf.DUMMYFUNCTION("IMPORTRANGE(""https://docs.google.com/spreadsheets/d/11923uPwbBZFjjGgGUA6NLw09EwE0CqkOc4q9oUmW1yo/edit?usp=sharing"",""กำแพงเพชร!J136"")"),0)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IFERROR(__xludf.DUMMYFUNCTION("IMPORTRANGE(""https://docs.google.com/spreadsheets/d/11923uPwbBZFjjGgGUA6NLw09EwE0CqkOc4q9oUmW1yo/edit?usp=sharing"",""กำแพงเพชร!J137"")"),0)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IFERROR(__xludf.DUMMYFUNCTION("IMPORTRANGE(""https://docs.google.com/spreadsheets/d/11923uPwbBZFjjGgGUA6NLw09EwE0CqkOc4q9oUmW1yo/edit?usp=sharing"",""กำแพงเพชร!I138"")"),0)</f>
        <v>0</v>
      </c>
      <c r="J213" s="203">
        <f ca="1">IFERROR(__xludf.DUMMYFUNCTION("IMPORTRANGE(""https://docs.google.com/spreadsheets/d/11923uPwbBZFjjGgGUA6NLw09EwE0CqkOc4q9oUmW1yo/edit?usp=sharing"",""กำแพงเพชร!J138"")"),0)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IFERROR(__xludf.DUMMYFUNCTION("IMPORTRANGE(""https://docs.google.com/spreadsheets/d/11923uPwbBZFjjGgGUA6NLw09EwE0CqkOc4q9oUmW1yo/edit?usp=sharing"",""กำแพงเพชร!I140"")"),0)</f>
        <v>0</v>
      </c>
      <c r="J215" s="203">
        <f ca="1">IFERROR(__xludf.DUMMYFUNCTION("IMPORTRANGE(""https://docs.google.com/spreadsheets/d/11923uPwbBZFjjGgGUA6NLw09EwE0CqkOc4q9oUmW1yo/edit?usp=sharing"",""กำแพงเพชร!J140"")"),0)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IFERROR(__xludf.DUMMYFUNCTION("IMPORTRANGE(""https://docs.google.com/spreadsheets/d/11923uPwbBZFjjGgGUA6NLw09EwE0CqkOc4q9oUmW1yo/edit?usp=sharing"",""กำแพงเพชร!I141"")"),0)</f>
        <v>0</v>
      </c>
      <c r="J216" s="203">
        <f ca="1">IFERROR(__xludf.DUMMYFUNCTION("IMPORTRANGE(""https://docs.google.com/spreadsheets/d/11923uPwbBZFjjGgGUA6NLw09EwE0CqkOc4q9oUmW1yo/edit?usp=sharing"",""กำแพงเพชร!J141"")"),0)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IFERROR(__xludf.DUMMYFUNCTION("IMPORTRANGE(""https://docs.google.com/spreadsheets/d/11923uPwbBZFjjGgGUA6NLw09EwE0CqkOc4q9oUmW1yo/edit?usp=sharing"",""กำแพงเพชร!J142"")"),0)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IFERROR(__xludf.DUMMYFUNCTION("IMPORTRANGE(""https://docs.google.com/spreadsheets/d/11923uPwbBZFjjGgGUA6NLw09EwE0CqkOc4q9oUmW1yo/edit?usp=sharing"",""กำแพงเพชร!J143"")"),0)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IFERROR(__xludf.DUMMYFUNCTION("IMPORTRANGE(""https://docs.google.com/spreadsheets/d/11923uPwbBZFjjGgGUA6NLw09EwE0CqkOc4q9oUmW1yo/edit?usp=sharing"",""กำแพงเพชร!I144"")"),15)</f>
        <v>15</v>
      </c>
      <c r="J219" s="267">
        <f ca="1">IFERROR(__xludf.DUMMYFUNCTION("IMPORTRANGE(""https://docs.google.com/spreadsheets/d/11923uPwbBZFjjGgGUA6NLw09EwE0CqkOc4q9oUmW1yo/edit?usp=sharing"",""กำแพงเพชร!J144"")"),15)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IFERROR(__xludf.DUMMYFUNCTION("IMPORTRANGE(""https://docs.google.com/spreadsheets/d/1Yj_ptqi66GCucihVvJfMjLAmec39IyEx_6qawtMGysU/edit?usp=sharing"",""สบก!BS20"")"),21125)</f>
        <v>21125</v>
      </c>
      <c r="N224" s="168">
        <f ca="1">IFERROR(__xludf.DUMMYFUNCTION("IMPORTRANGE(""https://docs.google.com/spreadsheets/d/1Yj_ptqi66GCucihVvJfMjLAmec39IyEx_6qawtMGysU/edit?usp=sharing"",""สบก!BT20"")"),21125)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IFERROR(__xludf.DUMMYFUNCTION("IMPORTRANGE(""https://docs.google.com/spreadsheets/d/1Yj_ptqi66GCucihVvJfMjLAmec39IyEx_6qawtMGysU/edit?usp=sharing"",""สบก!BO20"")"),0)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IFERROR(__xludf.DUMMYFUNCTION("IMPORTRANGE(""https://docs.google.com/spreadsheets/d/1Yj_ptqi66GCucihVvJfMjLAmec39IyEx_6qawtMGysU/edit?usp=sharing"",""สบก!BP20"")"),21125)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IFERROR(__xludf.DUMMYFUNCTION("IMPORTRANGE(""https://docs.google.com/spreadsheets/d/1Yj_ptqi66GCucihVvJfMjLAmec39IyEx_6qawtMGysU/edit?usp=sharing"",""สบก!BQ20"")"),0)</f>
        <v>0</v>
      </c>
      <c r="M228" s="50"/>
      <c r="N228" s="50">
        <f ca="1">IFERROR(__xludf.DUMMYFUNCTION("IMPORTRANGE(""https://docs.google.com/spreadsheets/d/1Yj_ptqi66GCucihVvJfMjLAmec39IyEx_6qawtMGysU/edit?usp=sharing"",""สบก!BU20"")"),0)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IFERROR(__xludf.DUMMYFUNCTION("IMPORTRANGE(""https://docs.google.com/spreadsheets/d/11923uPwbBZFjjGgGUA6NLw09EwE0CqkOc4q9oUmW1yo/edit?usp=sharing"",""กำแพงเพชร!I149"")"),15)</f>
        <v>15</v>
      </c>
      <c r="J229" s="267">
        <f ca="1">IFERROR(__xludf.DUMMYFUNCTION("IMPORTRANGE(""https://docs.google.com/spreadsheets/d/11923uPwbBZFjjGgGUA6NLw09EwE0CqkOc4q9oUmW1yo/edit?usp=sharing"",""กำแพงเพชร!J149"")"),15)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IFERROR(__xludf.DUMMYFUNCTION("IMPORTRANGE(""https://docs.google.com/spreadsheets/d/11923uPwbBZFjjGgGUA6NLw09EwE0CqkOc4q9oUmW1yo/edit?usp=sharing"",""กำแพงเพชร!J151"")"),0)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IFERROR(__xludf.DUMMYFUNCTION("IMPORTRANGE(""https://docs.google.com/spreadsheets/d/11923uPwbBZFjjGgGUA6NLw09EwE0CqkOc4q9oUmW1yo/edit?usp=sharing"",""กำแพงเพชร!J152"")"),0)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IFERROR(__xludf.DUMMYFUNCTION("IMPORTRANGE(""https://docs.google.com/spreadsheets/d/11923uPwbBZFjjGgGUA6NLw09EwE0CqkOc4q9oUmW1yo/edit?usp=sharing"",""กำแพงเพชร!J153"")"),0)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IFERROR(__xludf.DUMMYFUNCTION("IMPORTRANGE(""https://docs.google.com/spreadsheets/d/11923uPwbBZFjjGgGUA6NLw09EwE0CqkOc4q9oUmW1yo/edit?usp=sharing"",""กำแพงเพชร!J154"")"),0)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IFERROR(__xludf.DUMMYFUNCTION("IMPORTRANGE(""https://docs.google.com/spreadsheets/d/11923uPwbBZFjjGgGUA6NLw09EwE0CqkOc4q9oUmW1yo/edit?usp=sharing"",""กำแพงเพชร!I155"")"),15)</f>
        <v>15</v>
      </c>
      <c r="J235" s="188">
        <f ca="1">IFERROR(__xludf.DUMMYFUNCTION("IMPORTRANGE(""https://docs.google.com/spreadsheets/d/11923uPwbBZFjjGgGUA6NLw09EwE0CqkOc4q9oUmW1yo/edit?usp=sharing"",""กำแพงเพชร!J155"")"),15)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IFERROR(__xludf.DUMMYFUNCTION("IMPORTRANGE(""https://docs.google.com/spreadsheets/d/11923uPwbBZFjjGgGUA6NLw09EwE0CqkOc4q9oUmW1yo/edit?usp=sharing"",""กำแพงเพชร!J156"")"),1)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IFERROR(__xludf.DUMMYFUNCTION("IMPORTRANGE(""https://docs.google.com/spreadsheets/d/11923uPwbBZFjjGgGUA6NLw09EwE0CqkOc4q9oUmW1yo/edit?usp=sharing"",""กำแพงเพชร!J157"")"),1)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IFERROR(__xludf.DUMMYFUNCTION("IMPORTRANGE(""https://docs.google.com/spreadsheets/d/11923uPwbBZFjjGgGUA6NLw09EwE0CqkOc4q9oUmW1yo/edit?usp=sharing"",""กำแพงเพชร!I158"")"),0)</f>
        <v>0</v>
      </c>
      <c r="J238" s="267">
        <f ca="1">IFERROR(__xludf.DUMMYFUNCTION("IMPORTRANGE(""https://docs.google.com/spreadsheets/d/11923uPwbBZFjjGgGUA6NLw09EwE0CqkOc4q9oUmW1yo/edit?usp=sharing"",""กำแพงเพชร!J158"")"),0)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IFERROR(__xludf.DUMMYFUNCTION("IMPORTRANGE(""https://docs.google.com/spreadsheets/d/11923uPwbBZFjjGgGUA6NLw09EwE0CqkOc4q9oUmW1yo/edit?usp=sharing"",""กำแพงเพชร!J159"")"),"")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IFERROR(__xludf.DUMMYFUNCTION("IMPORTRANGE(""https://docs.google.com/spreadsheets/d/11923uPwbBZFjjGgGUA6NLw09EwE0CqkOc4q9oUmW1yo/edit?usp=sharing"",""กำแพงเพชร!J161"")"),0)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IFERROR(__xludf.DUMMYFUNCTION("IMPORTRANGE(""https://docs.google.com/spreadsheets/d/11923uPwbBZFjjGgGUA6NLw09EwE0CqkOc4q9oUmW1yo/edit?usp=sharing"",""กำแพงเพชร!J162"")"),0)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IFERROR(__xludf.DUMMYFUNCTION("IMPORTRANGE(""https://docs.google.com/spreadsheets/d/11923uPwbBZFjjGgGUA6NLw09EwE0CqkOc4q9oUmW1yo/edit?usp=sharing"",""กำแพงเพชร!J163"")"),0)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IFERROR(__xludf.DUMMYFUNCTION("IMPORTRANGE(""https://docs.google.com/spreadsheets/d/11923uPwbBZFjjGgGUA6NLw09EwE0CqkOc4q9oUmW1yo/edit?usp=sharing"",""กำแพงเพชร!I164"")"),0)</f>
        <v>0</v>
      </c>
      <c r="J244" s="187">
        <f ca="1">IFERROR(__xludf.DUMMYFUNCTION("IMPORTRANGE(""https://docs.google.com/spreadsheets/d/11923uPwbBZFjjGgGUA6NLw09EwE0CqkOc4q9oUmW1yo/edit?usp=sharing"",""กำแพงเพชร!J164"")"),0)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IFERROR(__xludf.DUMMYFUNCTION("IMPORTRANGE(""https://docs.google.com/spreadsheets/d/11923uPwbBZFjjGgGUA6NLw09EwE0CqkOc4q9oUmW1yo/edit?usp=sharing"",""กำแพงเพชร!J165"")"),0)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IFERROR(__xludf.DUMMYFUNCTION("IMPORTRANGE(""https://docs.google.com/spreadsheets/d/11923uPwbBZFjjGgGUA6NLw09EwE0CqkOc4q9oUmW1yo/edit?usp=sharing"",""กำแพงเพชร!J166"")"),0)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IFERROR(__xludf.DUMMYFUNCTION("IMPORTRANGE(""https://docs.google.com/spreadsheets/d/11923uPwbBZFjjGgGUA6NLw09EwE0CqkOc4q9oUmW1yo/edit?usp=sharing"",""กำแพงเพชร!I169"")"),0)</f>
        <v>0</v>
      </c>
      <c r="J249" s="316">
        <f ca="1">IFERROR(__xludf.DUMMYFUNCTION("IMPORTRANGE(""https://docs.google.com/spreadsheets/d/11923uPwbBZFjjGgGUA6NLw09EwE0CqkOc4q9oUmW1yo/edit?usp=sharing"",""กำแพงเพชร!J169"")"),0)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IFERROR(__xludf.DUMMYFUNCTION("IMPORTRANGE(""https://docs.google.com/spreadsheets/d/1Yj_ptqi66GCucihVvJfMjLAmec39IyEx_6qawtMGysU/edit?usp=sharing"",""สบก!CB20"")"),0)</f>
        <v>0</v>
      </c>
      <c r="N254" s="168">
        <f ca="1">IFERROR(__xludf.DUMMYFUNCTION("IMPORTRANGE(""https://docs.google.com/spreadsheets/d/1Yj_ptqi66GCucihVvJfMjLAmec39IyEx_6qawtMGysU/edit?usp=sharing"",""สบก!CC20"")"),0)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IFERROR(__xludf.DUMMYFUNCTION("IMPORTRANGE(""https://docs.google.com/spreadsheets/d/1Yj_ptqi66GCucihVvJfMjLAmec39IyEx_6qawtMGysU/edit?usp=sharing"",""สบก!BX20"")"),0)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IFERROR(__xludf.DUMMYFUNCTION("IMPORTRANGE(""https://docs.google.com/spreadsheets/d/1Yj_ptqi66GCucihVvJfMjLAmec39IyEx_6qawtMGysU/edit?usp=sharing"",""สบก!BY20"")"),0)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IFERROR(__xludf.DUMMYFUNCTION("IMPORTRANGE(""https://docs.google.com/spreadsheets/d/1Yj_ptqi66GCucihVvJfMjLAmec39IyEx_6qawtMGysU/edit?usp=sharing"",""สบก!BZ20"")"),0)</f>
        <v>0</v>
      </c>
      <c r="M258" s="50"/>
      <c r="N258" s="50">
        <f ca="1">IFERROR(__xludf.DUMMYFUNCTION("IMPORTRANGE(""https://docs.google.com/spreadsheets/d/1Yj_ptqi66GCucihVvJfMjLAmec39IyEx_6qawtMGysU/edit?usp=sharing"",""สบก!CD20"")"),0)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IFERROR(__xludf.DUMMYFUNCTION("IMPORTRANGE(""https://docs.google.com/spreadsheets/d/11923uPwbBZFjjGgGUA6NLw09EwE0CqkOc4q9oUmW1yo/edit?usp=sharing"",""กำแพงเพชร!J175"")"),0)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IFERROR(__xludf.DUMMYFUNCTION("IMPORTRANGE(""https://docs.google.com/spreadsheets/d/11923uPwbBZFjjGgGUA6NLw09EwE0CqkOc4q9oUmW1yo/edit?usp=sharing"",""กำแพงเพชร!J176"")"),0)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IFERROR(__xludf.DUMMYFUNCTION("IMPORTRANGE(""https://docs.google.com/spreadsheets/d/11923uPwbBZFjjGgGUA6NLw09EwE0CqkOc4q9oUmW1yo/edit?usp=sharing"",""กำแพงเพชร!J177"")"),0)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IFERROR(__xludf.DUMMYFUNCTION("IMPORTRANGE(""https://docs.google.com/spreadsheets/d/11923uPwbBZFjjGgGUA6NLw09EwE0CqkOc4q9oUmW1yo/edit?usp=sharing"",""กำแพงเพชร!J178"")"),0)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IFERROR(__xludf.DUMMYFUNCTION("IMPORTRANGE(""https://docs.google.com/spreadsheets/d/11923uPwbBZFjjGgGUA6NLw09EwE0CqkOc4q9oUmW1yo/edit?usp=sharing"",""กำแพงเพชร!I179"")"),0)</f>
        <v>0</v>
      </c>
      <c r="J264" s="188">
        <f ca="1">IFERROR(__xludf.DUMMYFUNCTION("IMPORTRANGE(""https://docs.google.com/spreadsheets/d/11923uPwbBZFjjGgGUA6NLw09EwE0CqkOc4q9oUmW1yo/edit?usp=sharing"",""กำแพงเพชร!J179"")"),0)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IFERROR(__xludf.DUMMYFUNCTION("IMPORTRANGE(""https://docs.google.com/spreadsheets/d/11923uPwbBZFjjGgGUA6NLw09EwE0CqkOc4q9oUmW1yo/edit?usp=sharing"",""กำแพงเพชร!I180"")"),0)</f>
        <v>0</v>
      </c>
      <c r="J265" s="188">
        <f ca="1">IFERROR(__xludf.DUMMYFUNCTION("IMPORTRANGE(""https://docs.google.com/spreadsheets/d/11923uPwbBZFjjGgGUA6NLw09EwE0CqkOc4q9oUmW1yo/edit?usp=sharing"",""กำแพงเพชร!J180"")"),0)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IFERROR(__xludf.DUMMYFUNCTION("IMPORTRANGE(""https://docs.google.com/spreadsheets/d/11923uPwbBZFjjGgGUA6NLw09EwE0CqkOc4q9oUmW1yo/edit?usp=sharing"",""กำแพงเพชร!I181"")"),0)</f>
        <v>0</v>
      </c>
      <c r="J266" s="188">
        <f ca="1">IFERROR(__xludf.DUMMYFUNCTION("IMPORTRANGE(""https://docs.google.com/spreadsheets/d/11923uPwbBZFjjGgGUA6NLw09EwE0CqkOc4q9oUmW1yo/edit?usp=sharing"",""กำแพงเพชร!J181"")"),0)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IFERROR(__xludf.DUMMYFUNCTION("IMPORTRANGE(""https://docs.google.com/spreadsheets/d/11923uPwbBZFjjGgGUA6NLw09EwE0CqkOc4q9oUmW1yo/edit?usp=sharing"",""กำแพงเพชร!I182"")"),0)</f>
        <v>0</v>
      </c>
      <c r="J267" s="188">
        <f ca="1">IFERROR(__xludf.DUMMYFUNCTION("IMPORTRANGE(""https://docs.google.com/spreadsheets/d/11923uPwbBZFjjGgGUA6NLw09EwE0CqkOc4q9oUmW1yo/edit?usp=sharing"",""กำแพงเพชร!J182"")"),0)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IFERROR(__xludf.DUMMYFUNCTION("IMPORTRANGE(""https://docs.google.com/spreadsheets/d/11923uPwbBZFjjGgGUA6NLw09EwE0CqkOc4q9oUmW1yo/edit?usp=sharing"",""กำแพงเพชร!J183"")"),0)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IFERROR(__xludf.DUMMYFUNCTION("IMPORTRANGE(""https://docs.google.com/spreadsheets/d/11923uPwbBZFjjGgGUA6NLw09EwE0CqkOc4q9oUmW1yo/edit?usp=sharing"",""กำแพงเพชร!J184"")"),0)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IFERROR(__xludf.DUMMYFUNCTION("IMPORTRANGE(""https://docs.google.com/spreadsheets/d/11923uPwbBZFjjGgGUA6NLw09EwE0CqkOc4q9oUmW1yo/edit?usp=sharing"",""กำแพงเพชร!I185"")"),15)</f>
        <v>15</v>
      </c>
      <c r="J270" s="316">
        <f ca="1">IFERROR(__xludf.DUMMYFUNCTION("IMPORTRANGE(""https://docs.google.com/spreadsheets/d/11923uPwbBZFjjGgGUA6NLw09EwE0CqkOc4q9oUmW1yo/edit?usp=sharing"",""กำแพงเพชร!J185"")"),15)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319200</v>
      </c>
      <c r="N271" s="152">
        <f t="shared" ca="1" si="83"/>
        <v>208626</v>
      </c>
      <c r="O271" s="151">
        <f t="shared" ref="O271:O273" ca="1" si="84">IF(L271&gt;0,N271*100/L271,0)</f>
        <v>65.359022556390983</v>
      </c>
      <c r="P271" s="151">
        <f t="shared" ref="P271:P273" ca="1" si="85">IF(M271&gt;0,N271*100/M271,0)</f>
        <v>65.359022556390983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319200</v>
      </c>
      <c r="M273" s="88">
        <f t="shared" ca="1" si="87"/>
        <v>319200</v>
      </c>
      <c r="N273" s="88">
        <f t="shared" ca="1" si="87"/>
        <v>208626</v>
      </c>
      <c r="O273" s="156">
        <f t="shared" ca="1" si="84"/>
        <v>65.359022556390983</v>
      </c>
      <c r="P273" s="156">
        <f t="shared" ca="1" si="85"/>
        <v>65.359022556390983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319200</v>
      </c>
      <c r="M275" s="167">
        <f ca="1">IFERROR(__xludf.DUMMYFUNCTION("IMPORTRANGE(""https://docs.google.com/spreadsheets/d/1Yj_ptqi66GCucihVvJfMjLAmec39IyEx_6qawtMGysU/edit?usp=sharing"",""สบก!CK20"")"),319200)</f>
        <v>319200</v>
      </c>
      <c r="N275" s="168">
        <f ca="1">IFERROR(__xludf.DUMMYFUNCTION("IMPORTRANGE(""https://docs.google.com/spreadsheets/d/1Yj_ptqi66GCucihVvJfMjLAmec39IyEx_6qawtMGysU/edit?usp=sharing"",""สบก!CL20"")"),208626)</f>
        <v>208626</v>
      </c>
      <c r="O275" s="168">
        <f ca="1">IF(L275&gt;0,N275*100/L275,0)</f>
        <v>65.359022556390983</v>
      </c>
      <c r="P275" s="168">
        <f ca="1">IF(M275&gt;0,N275*100/M275,0)</f>
        <v>65.359022556390983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IFERROR(__xludf.DUMMYFUNCTION("IMPORTRANGE(""https://docs.google.com/spreadsheets/d/1Yj_ptqi66GCucihVvJfMjLAmec39IyEx_6qawtMGysU/edit?usp=sharing"",""สบก!CG20"")"),264000)</f>
        <v>264000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IFERROR(__xludf.DUMMYFUNCTION("IMPORTRANGE(""https://docs.google.com/spreadsheets/d/1Yj_ptqi66GCucihVvJfMjLAmec39IyEx_6qawtMGysU/edit?usp=sharing"",""สบก!CH20"")"),55200)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IFERROR(__xludf.DUMMYFUNCTION("IMPORTRANGE(""https://docs.google.com/spreadsheets/d/1Yj_ptqi66GCucihVvJfMjLAmec39IyEx_6qawtMGysU/edit?usp=sharing"",""สบก!CI20"")"),0)</f>
        <v>0</v>
      </c>
      <c r="M279" s="50"/>
      <c r="N279" s="50">
        <f ca="1">IFERROR(__xludf.DUMMYFUNCTION("IMPORTRANGE(""https://docs.google.com/spreadsheets/d/1Yj_ptqi66GCucihVvJfMjLAmec39IyEx_6qawtMGysU/edit?usp=sharing"",""สบก!CM20"")"),0)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IFERROR(__xludf.DUMMYFUNCTION("IMPORTRANGE(""https://docs.google.com/spreadsheets/d/11923uPwbBZFjjGgGUA6NLw09EwE0CqkOc4q9oUmW1yo/edit?usp=sharing"",""กำแพงเพชร!J191"")"),0)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IFERROR(__xludf.DUMMYFUNCTION("IMPORTRANGE(""https://docs.google.com/spreadsheets/d/11923uPwbBZFjjGgGUA6NLw09EwE0CqkOc4q9oUmW1yo/edit?usp=sharing"",""กำแพงเพชร!J192"")"),1)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IFERROR(__xludf.DUMMYFUNCTION("IMPORTRANGE(""https://docs.google.com/spreadsheets/d/11923uPwbBZFjjGgGUA6NLw09EwE0CqkOc4q9oUmW1yo/edit?usp=sharing"",""กำแพงเพชร!J193"")"),1)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IFERROR(__xludf.DUMMYFUNCTION("IMPORTRANGE(""https://docs.google.com/spreadsheets/d/11923uPwbBZFjjGgGUA6NLw09EwE0CqkOc4q9oUmW1yo/edit?usp=sharing"",""กำแพงเพชร!J194"")"),1)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IFERROR(__xludf.DUMMYFUNCTION("IMPORTRANGE(""https://docs.google.com/spreadsheets/d/11923uPwbBZFjjGgGUA6NLw09EwE0CqkOc4q9oUmW1yo/edit?usp=sharing"",""กำแพงเพชร!I195"")"),15)</f>
        <v>15</v>
      </c>
      <c r="J285" s="188">
        <f ca="1">IFERROR(__xludf.DUMMYFUNCTION("IMPORTRANGE(""https://docs.google.com/spreadsheets/d/11923uPwbBZFjjGgGUA6NLw09EwE0CqkOc4q9oUmW1yo/edit?usp=sharing"",""กำแพงเพชร!J195"")"),15)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IFERROR(__xludf.DUMMYFUNCTION("IMPORTRANGE(""https://docs.google.com/spreadsheets/d/11923uPwbBZFjjGgGUA6NLw09EwE0CqkOc4q9oUmW1yo/edit?usp=sharing"",""กำแพงเพชร!J196"")"),0)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IFERROR(__xludf.DUMMYFUNCTION("IMPORTRANGE(""https://docs.google.com/spreadsheets/d/11923uPwbBZFjjGgGUA6NLw09EwE0CqkOc4q9oUmW1yo/edit?usp=sharing"",""กำแพงเพชร!J197"")"),0)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IFERROR(__xludf.DUMMYFUNCTION("IMPORTRANGE(""https://docs.google.com/spreadsheets/d/11923uPwbBZFjjGgGUA6NLw09EwE0CqkOc4q9oUmW1yo/edit?usp=sharing"",""กำแพงเพชร!I199"")"),0)</f>
        <v>0</v>
      </c>
      <c r="J289" s="316">
        <f ca="1">IFERROR(__xludf.DUMMYFUNCTION("IMPORTRANGE(""https://docs.google.com/spreadsheets/d/11923uPwbBZFjjGgGUA6NLw09EwE0CqkOc4q9oUmW1yo/edit?usp=sharing"",""กำแพงเพชร!J199"")"),0)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IFERROR(__xludf.DUMMYFUNCTION("IMPORTRANGE(""https://docs.google.com/spreadsheets/d/1Yj_ptqi66GCucihVvJfMjLAmec39IyEx_6qawtMGysU/edit?usp=sharing"",""สบก!CT20"")"),0)</f>
        <v>0</v>
      </c>
      <c r="N294" s="168">
        <f ca="1">IFERROR(__xludf.DUMMYFUNCTION("IMPORTRANGE(""https://docs.google.com/spreadsheets/d/1Yj_ptqi66GCucihVvJfMjLAmec39IyEx_6qawtMGysU/edit?usp=sharing"",""สบก!CU20"")"),0)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IFERROR(__xludf.DUMMYFUNCTION("IMPORTRANGE(""https://docs.google.com/spreadsheets/d/1Yj_ptqi66GCucihVvJfMjLAmec39IyEx_6qawtMGysU/edit?usp=sharing"",""สบก!CP20"")"),0)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IFERROR(__xludf.DUMMYFUNCTION("IMPORTRANGE(""https://docs.google.com/spreadsheets/d/1Yj_ptqi66GCucihVvJfMjLAmec39IyEx_6qawtMGysU/edit?usp=sharing"",""สบก!CQ20"")"),0)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IFERROR(__xludf.DUMMYFUNCTION("IMPORTRANGE(""https://docs.google.com/spreadsheets/d/1Yj_ptqi66GCucihVvJfMjLAmec39IyEx_6qawtMGysU/edit?usp=sharing"",""สบก!CR20"")"),0)</f>
        <v>0</v>
      </c>
      <c r="M298" s="50"/>
      <c r="N298" s="50">
        <f ca="1">IFERROR(__xludf.DUMMYFUNCTION("IMPORTRANGE(""https://docs.google.com/spreadsheets/d/1Yj_ptqi66GCucihVvJfMjLAmec39IyEx_6qawtMGysU/edit?usp=sharing"",""สบก!CV20"")"),0)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IFERROR(__xludf.DUMMYFUNCTION("IMPORTRANGE(""https://docs.google.com/spreadsheets/d/11923uPwbBZFjjGgGUA6NLw09EwE0CqkOc4q9oUmW1yo/edit?usp=sharing"",""กำแพงเพชร!J205"")"),0)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IFERROR(__xludf.DUMMYFUNCTION("IMPORTRANGE(""https://docs.google.com/spreadsheets/d/11923uPwbBZFjjGgGUA6NLw09EwE0CqkOc4q9oUmW1yo/edit?usp=sharing"",""กำแพงเพชร!J206"")"),0)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IFERROR(__xludf.DUMMYFUNCTION("IMPORTRANGE(""https://docs.google.com/spreadsheets/d/11923uPwbBZFjjGgGUA6NLw09EwE0CqkOc4q9oUmW1yo/edit?usp=sharing"",""กำแพงเพชร!J207"")"),0)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IFERROR(__xludf.DUMMYFUNCTION("IMPORTRANGE(""https://docs.google.com/spreadsheets/d/11923uPwbBZFjjGgGUA6NLw09EwE0CqkOc4q9oUmW1yo/edit?usp=sharing"",""กำแพงเพชร!J208"")"),0)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IFERROR(__xludf.DUMMYFUNCTION("IMPORTRANGE(""https://docs.google.com/spreadsheets/d/11923uPwbBZFjjGgGUA6NLw09EwE0CqkOc4q9oUmW1yo/edit?usp=sharing"",""กำแพงเพชร!I209"")"),0)</f>
        <v>0</v>
      </c>
      <c r="J304" s="203">
        <f ca="1">IFERROR(__xludf.DUMMYFUNCTION("IMPORTRANGE(""https://docs.google.com/spreadsheets/d/11923uPwbBZFjjGgGUA6NLw09EwE0CqkOc4q9oUmW1yo/edit?usp=sharing"",""กำแพงเพชร!J209"")"),0)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IFERROR(__xludf.DUMMYFUNCTION("IMPORTRANGE(""https://docs.google.com/spreadsheets/d/11923uPwbBZFjjGgGUA6NLw09EwE0CqkOc4q9oUmW1yo/edit?usp=sharing"",""กำแพงเพชร!I211"")"),0)</f>
        <v>0</v>
      </c>
      <c r="J306" s="203">
        <f ca="1">IFERROR(__xludf.DUMMYFUNCTION("IMPORTRANGE(""https://docs.google.com/spreadsheets/d/11923uPwbBZFjjGgGUA6NLw09EwE0CqkOc4q9oUmW1yo/edit?usp=sharing"",""กำแพงเพชร!J211"")"),0)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IFERROR(__xludf.DUMMYFUNCTION("IMPORTRANGE(""https://docs.google.com/spreadsheets/d/11923uPwbBZFjjGgGUA6NLw09EwE0CqkOc4q9oUmW1yo/edit?usp=sharing"",""กำแพงเพชร!J212"")"),0)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IFERROR(__xludf.DUMMYFUNCTION("IMPORTRANGE(""https://docs.google.com/spreadsheets/d/11923uPwbBZFjjGgGUA6NLw09EwE0CqkOc4q9oUmW1yo/edit?usp=sharing"",""กำแพงเพชร!J213"")"),0)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IFERROR(__xludf.DUMMYFUNCTION("IMPORTRANGE(""https://docs.google.com/spreadsheets/d/11923uPwbBZFjjGgGUA6NLw09EwE0CqkOc4q9oUmW1yo/edit?usp=sharing"",""กำแพงเพชร!I214"")"),1)</f>
        <v>1</v>
      </c>
      <c r="J309" s="333">
        <f ca="1">IFERROR(__xludf.DUMMYFUNCTION("IMPORTRANGE(""https://docs.google.com/spreadsheets/d/11923uPwbBZFjjGgGUA6NLw09EwE0CqkOc4q9oUmW1yo/edit?usp=sharing"",""กำแพงเพชร!J214"")"),1)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194600</v>
      </c>
      <c r="M310" s="152">
        <f t="shared" ca="1" si="93"/>
        <v>194600</v>
      </c>
      <c r="N310" s="152">
        <f t="shared" ca="1" si="93"/>
        <v>90064.84</v>
      </c>
      <c r="O310" s="151">
        <f t="shared" ref="O310:O312" ca="1" si="94">IF(L310&gt;0,N310*100/L310,0)</f>
        <v>46.282034943473789</v>
      </c>
      <c r="P310" s="151">
        <f t="shared" ref="P310:P312" ca="1" si="95">IF(M310&gt;0,N310*100/M310,0)</f>
        <v>46.282034943473789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194600</v>
      </c>
      <c r="M312" s="88">
        <f t="shared" ca="1" si="97"/>
        <v>194600</v>
      </c>
      <c r="N312" s="88">
        <f t="shared" ca="1" si="97"/>
        <v>90064.84</v>
      </c>
      <c r="O312" s="156">
        <f t="shared" ca="1" si="94"/>
        <v>46.282034943473789</v>
      </c>
      <c r="P312" s="156">
        <f t="shared" ca="1" si="95"/>
        <v>46.282034943473789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194600</v>
      </c>
      <c r="M314" s="167">
        <f ca="1">IFERROR(__xludf.DUMMYFUNCTION("IMPORTRANGE(""https://docs.google.com/spreadsheets/d/1Yj_ptqi66GCucihVvJfMjLAmec39IyEx_6qawtMGysU/edit?usp=sharing"",""สบก!DC20"")"),194600)</f>
        <v>194600</v>
      </c>
      <c r="N314" s="168">
        <f ca="1">IFERROR(__xludf.DUMMYFUNCTION("IMPORTRANGE(""https://docs.google.com/spreadsheets/d/1Yj_ptqi66GCucihVvJfMjLAmec39IyEx_6qawtMGysU/edit?usp=sharing"",""สบก!DD20"")"),90064.84)</f>
        <v>90064.84</v>
      </c>
      <c r="O314" s="168">
        <f ca="1">IF(L314&gt;0,N314*100/L314,0)</f>
        <v>46.282034943473789</v>
      </c>
      <c r="P314" s="168">
        <f ca="1">IF(M314&gt;0,N314*100/M314,0)</f>
        <v>46.282034943473789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IFERROR(__xludf.DUMMYFUNCTION("IMPORTRANGE(""https://docs.google.com/spreadsheets/d/1Yj_ptqi66GCucihVvJfMjLAmec39IyEx_6qawtMGysU/edit?usp=sharing"",""สบก!CY20"")"),0)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IFERROR(__xludf.DUMMYFUNCTION("IMPORTRANGE(""https://docs.google.com/spreadsheets/d/1Yj_ptqi66GCucihVvJfMjLAmec39IyEx_6qawtMGysU/edit?usp=sharing"",""สบก!CZ20"")"),194600)</f>
        <v>194600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IFERROR(__xludf.DUMMYFUNCTION("IMPORTRANGE(""https://docs.google.com/spreadsheets/d/1Yj_ptqi66GCucihVvJfMjLAmec39IyEx_6qawtMGysU/edit?usp=sharing"",""สบก!DA20"")"),0)</f>
        <v>0</v>
      </c>
      <c r="M318" s="50"/>
      <c r="N318" s="50">
        <f ca="1">IFERROR(__xludf.DUMMYFUNCTION("IMPORTRANGE(""https://docs.google.com/spreadsheets/d/1Yj_ptqi66GCucihVvJfMjLAmec39IyEx_6qawtMGysU/edit?usp=sharing"",""สบก!DE20"")"),0)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IFERROR(__xludf.DUMMYFUNCTION("IMPORTRANGE(""https://docs.google.com/spreadsheets/d/11923uPwbBZFjjGgGUA6NLw09EwE0CqkOc4q9oUmW1yo/edit?usp=sharing"",""กำแพงเพชร!J220"")"),0)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IFERROR(__xludf.DUMMYFUNCTION("IMPORTRANGE(""https://docs.google.com/spreadsheets/d/11923uPwbBZFjjGgGUA6NLw09EwE0CqkOc4q9oUmW1yo/edit?usp=sharing"",""กำแพงเพชร!J221"")"),1)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IFERROR(__xludf.DUMMYFUNCTION("IMPORTRANGE(""https://docs.google.com/spreadsheets/d/11923uPwbBZFjjGgGUA6NLw09EwE0CqkOc4q9oUmW1yo/edit?usp=sharing"",""กำแพงเพชร!J222"")"),0)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IFERROR(__xludf.DUMMYFUNCTION("IMPORTRANGE(""https://docs.google.com/spreadsheets/d/11923uPwbBZFjjGgGUA6NLw09EwE0CqkOc4q9oUmW1yo/edit?usp=sharing"",""กำแพงเพชร!J223"")"),1)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IFERROR(__xludf.DUMMYFUNCTION("IMPORTRANGE(""https://docs.google.com/spreadsheets/d/11923uPwbBZFjjGgGUA6NLw09EwE0CqkOc4q9oUmW1yo/edit?usp=sharing"",""กำแพงเพชร!I224"")"),1)</f>
        <v>1</v>
      </c>
      <c r="J324" s="203">
        <f ca="1">IFERROR(__xludf.DUMMYFUNCTION("IMPORTRANGE(""https://docs.google.com/spreadsheets/d/11923uPwbBZFjjGgGUA6NLw09EwE0CqkOc4q9oUmW1yo/edit?usp=sharing"",""กำแพงเพชร!J224"")"),1)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IFERROR(__xludf.DUMMYFUNCTION("IMPORTRANGE(""https://docs.google.com/spreadsheets/d/11923uPwbBZFjjGgGUA6NLw09EwE0CqkOc4q9oUmW1yo/edit?usp=sharing"",""กำแพงเพชร!J225"")"),0)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IFERROR(__xludf.DUMMYFUNCTION("IMPORTRANGE(""https://docs.google.com/spreadsheets/d/11923uPwbBZFjjGgGUA6NLw09EwE0CqkOc4q9oUmW1yo/edit?usp=sharing"",""กำแพงเพชร!J226"")"),0)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IFERROR(__xludf.DUMMYFUNCTION("IMPORTRANGE(""https://docs.google.com/spreadsheets/d/11923uPwbBZFjjGgGUA6NLw09EwE0CqkOc4q9oUmW1yo/edit?usp=sharing"",""กำแพงเพชร!I228"")"),1209)</f>
        <v>1209</v>
      </c>
      <c r="J328" s="339">
        <f ca="1">IFERROR(__xludf.DUMMYFUNCTION("IMPORTRANGE(""https://docs.google.com/spreadsheets/d/11923uPwbBZFjjGgGUA6NLw09EwE0CqkOc4q9oUmW1yo/edit?usp=sharing"",""กำแพงเพชร!J228"")"),226)</f>
        <v>226</v>
      </c>
      <c r="K328" s="317">
        <f ca="1">IF(I328&gt;0,J328*100/I328,0)</f>
        <v>18.693134822167082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1987630</v>
      </c>
      <c r="M329" s="152">
        <f t="shared" ca="1" si="98"/>
        <v>1829790</v>
      </c>
      <c r="N329" s="152">
        <f t="shared" ca="1" si="98"/>
        <v>1182516.69</v>
      </c>
      <c r="O329" s="151">
        <f t="shared" ref="O329:O331" ca="1" si="99">IF(L329&gt;0,N329*100/L329,0)</f>
        <v>59.493803675734419</v>
      </c>
      <c r="P329" s="151">
        <f t="shared" ref="P329:P331" ca="1" si="100">IF(M329&gt;0,N329*100/M329,0)</f>
        <v>64.625814437722369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1987630</v>
      </c>
      <c r="M331" s="88">
        <f t="shared" ca="1" si="102"/>
        <v>1829790</v>
      </c>
      <c r="N331" s="88">
        <f t="shared" ca="1" si="102"/>
        <v>1182516.69</v>
      </c>
      <c r="O331" s="156">
        <f t="shared" ca="1" si="99"/>
        <v>59.493803675734419</v>
      </c>
      <c r="P331" s="156">
        <f t="shared" ca="1" si="100"/>
        <v>64.625814437722369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1987630</v>
      </c>
      <c r="M333" s="167">
        <f ca="1">IFERROR(__xludf.DUMMYFUNCTION("IMPORTRANGE(""https://docs.google.com/spreadsheets/d/1Yj_ptqi66GCucihVvJfMjLAmec39IyEx_6qawtMGysU/edit?usp=sharing"",""สบก!DL20"")"),1829790)</f>
        <v>1829790</v>
      </c>
      <c r="N333" s="168">
        <f ca="1">IFERROR(__xludf.DUMMYFUNCTION("IMPORTRANGE(""https://docs.google.com/spreadsheets/d/1Yj_ptqi66GCucihVvJfMjLAmec39IyEx_6qawtMGysU/edit?usp=sharing"",""สบก!DM20"")"),1182516.69)</f>
        <v>1182516.69</v>
      </c>
      <c r="O333" s="168">
        <f ca="1">IF(L333&gt;0,N333*100/L333,0)</f>
        <v>59.493803675734419</v>
      </c>
      <c r="P333" s="168">
        <f ca="1">IF(M333&gt;0,N333*100/M333,0)</f>
        <v>64.625814437722369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IFERROR(__xludf.DUMMYFUNCTION("IMPORTRANGE(""https://docs.google.com/spreadsheets/d/1Yj_ptqi66GCucihVvJfMjLAmec39IyEx_6qawtMGysU/edit?usp=sharing"",""สบก!DH20"")"),607100)</f>
        <v>607100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IFERROR(__xludf.DUMMYFUNCTION("IMPORTRANGE(""https://docs.google.com/spreadsheets/d/1Yj_ptqi66GCucihVvJfMjLAmec39IyEx_6qawtMGysU/edit?usp=sharing"",""สบก!DI20"")"),1380530)</f>
        <v>1380530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IFERROR(__xludf.DUMMYFUNCTION("IMPORTRANGE(""https://docs.google.com/spreadsheets/d/1Yj_ptqi66GCucihVvJfMjLAmec39IyEx_6qawtMGysU/edit?usp=sharing"",""สบก!DJ20"")"),0)</f>
        <v>0</v>
      </c>
      <c r="M337" s="50"/>
      <c r="N337" s="50">
        <f ca="1">IFERROR(__xludf.DUMMYFUNCTION("IMPORTRANGE(""https://docs.google.com/spreadsheets/d/1Yj_ptqi66GCucihVvJfMjLAmec39IyEx_6qawtMGysU/edit?usp=sharing"",""สบก!DN20"")"),0)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IFERROR(__xludf.DUMMYFUNCTION("IMPORTRANGE(""https://docs.google.com/spreadsheets/d/11923uPwbBZFjjGgGUA6NLw09EwE0CqkOc4q9oUmW1yo/edit?usp=sharing"",""กำแพงเพชร!I234"")"),0)</f>
        <v>0</v>
      </c>
      <c r="J339" s="187">
        <f ca="1">IFERROR(__xludf.DUMMYFUNCTION("IMPORTRANGE(""https://docs.google.com/spreadsheets/d/11923uPwbBZFjjGgGUA6NLw09EwE0CqkOc4q9oUmW1yo/edit?usp=sharing"",""กำแพงเพชร!J234"")"),594)</f>
        <v>594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IFERROR(__xludf.DUMMYFUNCTION("IMPORTRANGE(""https://docs.google.com/spreadsheets/d/11923uPwbBZFjjGgGUA6NLw09EwE0CqkOc4q9oUmW1yo/edit?usp=sharing"",""กำแพงเพชร!I235"")"),8400)</f>
        <v>8400</v>
      </c>
      <c r="J340" s="187">
        <f ca="1">IFERROR(__xludf.DUMMYFUNCTION("IMPORTRANGE(""https://docs.google.com/spreadsheets/d/11923uPwbBZFjjGgGUA6NLw09EwE0CqkOc4q9oUmW1yo/edit?usp=sharing"",""กำแพงเพชร!J235"")"),5477.53)</f>
        <v>5477.53</v>
      </c>
      <c r="K340" s="342">
        <f t="shared" ca="1" si="103"/>
        <v>65.208690476190469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IFERROR(__xludf.DUMMYFUNCTION("IMPORTRANGE(""https://docs.google.com/spreadsheets/d/11923uPwbBZFjjGgGUA6NLw09EwE0CqkOc4q9oUmW1yo/edit?usp=sharing"",""กำแพงเพชร!I236"")"),1209)</f>
        <v>1209</v>
      </c>
      <c r="J341" s="187">
        <f ca="1">IFERROR(__xludf.DUMMYFUNCTION("IMPORTRANGE(""https://docs.google.com/spreadsheets/d/11923uPwbBZFjjGgGUA6NLw09EwE0CqkOc4q9oUmW1yo/edit?usp=sharing"",""กำแพงเพชร!J236"")"),459)</f>
        <v>459</v>
      </c>
      <c r="K341" s="342">
        <f t="shared" ca="1" si="103"/>
        <v>37.965260545905707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IFERROR(__xludf.DUMMYFUNCTION("IMPORTRANGE(""https://docs.google.com/spreadsheets/d/11923uPwbBZFjjGgGUA6NLw09EwE0CqkOc4q9oUmW1yo/edit?usp=sharing"",""กำแพงเพชร!I237"")"),0)</f>
        <v>0</v>
      </c>
      <c r="J342" s="187">
        <f ca="1">IFERROR(__xludf.DUMMYFUNCTION("IMPORTRANGE(""https://docs.google.com/spreadsheets/d/11923uPwbBZFjjGgGUA6NLw09EwE0CqkOc4q9oUmW1yo/edit?usp=sharing"",""กำแพงเพชร!J237"")"),5750.97)</f>
        <v>5750.97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IFERROR(__xludf.DUMMYFUNCTION("IMPORTRANGE(""https://docs.google.com/spreadsheets/d/11923uPwbBZFjjGgGUA6NLw09EwE0CqkOc4q9oUmW1yo/edit?usp=sharing"",""กำแพงเพชร!I238"")"),1209)</f>
        <v>1209</v>
      </c>
      <c r="J343" s="187">
        <f ca="1">IFERROR(__xludf.DUMMYFUNCTION("IMPORTRANGE(""https://docs.google.com/spreadsheets/d/11923uPwbBZFjjGgGUA6NLw09EwE0CqkOc4q9oUmW1yo/edit?usp=sharing"",""กำแพงเพชร!J238"")"),0)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IFERROR(__xludf.DUMMYFUNCTION("IMPORTRANGE(""https://docs.google.com/spreadsheets/d/11923uPwbBZFjjGgGUA6NLw09EwE0CqkOc4q9oUmW1yo/edit?usp=sharing"",""กำแพงเพชร!I239"")"),0)</f>
        <v>0</v>
      </c>
      <c r="J344" s="187">
        <f ca="1">IFERROR(__xludf.DUMMYFUNCTION("IMPORTRANGE(""https://docs.google.com/spreadsheets/d/11923uPwbBZFjjGgGUA6NLw09EwE0CqkOc4q9oUmW1yo/edit?usp=sharing"",""กำแพงเพชร!J239"")"),0)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IFERROR(__xludf.DUMMYFUNCTION("IMPORTRANGE(""https://docs.google.com/spreadsheets/d/11923uPwbBZFjjGgGUA6NLw09EwE0CqkOc4q9oUmW1yo/edit?usp=sharing"",""กำแพงเพชร!I240"")"),1209)</f>
        <v>1209</v>
      </c>
      <c r="J345" s="187">
        <f ca="1">IFERROR(__xludf.DUMMYFUNCTION("IMPORTRANGE(""https://docs.google.com/spreadsheets/d/11923uPwbBZFjjGgGUA6NLw09EwE0CqkOc4q9oUmW1yo/edit?usp=sharing"",""กำแพงเพชร!J240"")"),226)</f>
        <v>226</v>
      </c>
      <c r="K345" s="342">
        <f t="shared" ca="1" si="103"/>
        <v>18.693134822167082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IFERROR(__xludf.DUMMYFUNCTION("IMPORTRANGE(""https://docs.google.com/spreadsheets/d/11923uPwbBZFjjGgGUA6NLw09EwE0CqkOc4q9oUmW1yo/edit?usp=sharing"",""กำแพงเพชร!I241"")"),0)</f>
        <v>0</v>
      </c>
      <c r="J346" s="187">
        <f ca="1">IFERROR(__xludf.DUMMYFUNCTION("IMPORTRANGE(""https://docs.google.com/spreadsheets/d/11923uPwbBZFjjGgGUA6NLw09EwE0CqkOc4q9oUmW1yo/edit?usp=sharing"",""กำแพงเพชร!J241"")"),3116.58)</f>
        <v>3116.58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IFERROR(__xludf.DUMMYFUNCTION("IMPORTRANGE(""https://docs.google.com/spreadsheets/d/11923uPwbBZFjjGgGUA6NLw09EwE0CqkOc4q9oUmW1yo/edit?usp=sharing"",""กำแพงเพชร!L242"")"),3400636)</f>
        <v>3400636</v>
      </c>
      <c r="M347" s="357"/>
      <c r="N347" s="357">
        <f ca="1">IFERROR(__xludf.DUMMYFUNCTION("IMPORTRANGE(""https://docs.google.com/spreadsheets/d/11923uPwbBZFjjGgGUA6NLw09EwE0CqkOc4q9oUmW1yo/edit?usp=sharing"",""กำแพงเพชร!M242"")"),1051630.58)</f>
        <v>1051630.58</v>
      </c>
      <c r="O347" s="357">
        <f ca="1">+IF(L347&gt;0,N347*100/L347,0)</f>
        <v>30.924526470930733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IFERROR(__xludf.DUMMYFUNCTION("IMPORTRANGE(""https://docs.google.com/spreadsheets/d/11923uPwbBZFjjGgGUA6NLw09EwE0CqkOc4q9oUmW1yo/edit?usp=sharing"",""กำแพงเพชร!I244"")"),0)</f>
        <v>0</v>
      </c>
      <c r="J349" s="370">
        <f ca="1">IFERROR(__xludf.DUMMYFUNCTION("IMPORTRANGE(""https://docs.google.com/spreadsheets/d/11923uPwbBZFjjGgGUA6NLw09EwE0CqkOc4q9oUmW1yo/edit?usp=sharing"",""กำแพงเพชร!J244"")"),0)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IFERROR(__xludf.DUMMYFUNCTION("IMPORTRANGE(""https://docs.google.com/spreadsheets/d/11923uPwbBZFjjGgGUA6NLw09EwE0CqkOc4q9oUmW1yo/edit?usp=sharing"",""กำแพงเพชร!L244"")"),0)</f>
        <v>0</v>
      </c>
      <c r="M349" s="372"/>
      <c r="N349" s="372">
        <f ca="1">IFERROR(__xludf.DUMMYFUNCTION("IMPORTRANGE(""https://docs.google.com/spreadsheets/d/11923uPwbBZFjjGgGUA6NLw09EwE0CqkOc4q9oUmW1yo/edit?usp=sharing"",""กำแพงเพชร!M244"")"),0)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IFERROR(__xludf.DUMMYFUNCTION("IMPORTRANGE(""https://docs.google.com/spreadsheets/d/11923uPwbBZFjjGgGUA6NLw09EwE0CqkOc4q9oUmW1yo/edit?usp=sharing"",""กำแพงเพชร!I245"")"),0)</f>
        <v>0</v>
      </c>
      <c r="J350" s="370">
        <f ca="1">IFERROR(__xludf.DUMMYFUNCTION("IMPORTRANGE(""https://docs.google.com/spreadsheets/d/11923uPwbBZFjjGgGUA6NLw09EwE0CqkOc4q9oUmW1yo/edit?usp=sharing"",""กำแพงเพชร!J245"")"),0)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IFERROR(__xludf.DUMMYFUNCTION("IMPORTRANGE(""https://docs.google.com/spreadsheets/d/11923uPwbBZFjjGgGUA6NLw09EwE0CqkOc4q9oUmW1yo/edit?usp=sharing"",""กำแพงเพชร!L246"")"),0)</f>
        <v>0</v>
      </c>
      <c r="M351" s="164"/>
      <c r="N351" s="164">
        <f ca="1">IFERROR(__xludf.DUMMYFUNCTION("IMPORTRANGE(""https://docs.google.com/spreadsheets/d/11923uPwbBZFjjGgGUA6NLw09EwE0CqkOc4q9oUmW1yo/edit?usp=sharing"",""กำแพงเพชร!M246"")"),0)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IFERROR(__xludf.DUMMYFUNCTION("IMPORTRANGE(""https://docs.google.com/spreadsheets/d/11923uPwbBZFjjGgGUA6NLw09EwE0CqkOc4q9oUmW1yo/edit?usp=sharing"",""กำแพงเพชร!L247"")"),0)</f>
        <v>0</v>
      </c>
      <c r="M352" s="165"/>
      <c r="N352" s="164">
        <f ca="1">IFERROR(__xludf.DUMMYFUNCTION("IMPORTRANGE(""https://docs.google.com/spreadsheets/d/11923uPwbBZFjjGgGUA6NLw09EwE0CqkOc4q9oUmW1yo/edit?usp=sharing"",""กำแพงเพชร!M247"")"),0)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IFERROR(__xludf.DUMMYFUNCTION("IMPORTRANGE(""https://docs.google.com/spreadsheets/d/11923uPwbBZFjjGgGUA6NLw09EwE0CqkOc4q9oUmW1yo/edit?usp=sharing"",""กำแพงเพชร!L248"")"),0)</f>
        <v>0</v>
      </c>
      <c r="M353" s="168"/>
      <c r="N353" s="168">
        <f ca="1">IFERROR(__xludf.DUMMYFUNCTION("IMPORTRANGE(""https://docs.google.com/spreadsheets/d/11923uPwbBZFjjGgGUA6NLw09EwE0CqkOc4q9oUmW1yo/edit?usp=sharing"",""กำแพงเพชร!M248"")"),0)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IFERROR(__xludf.DUMMYFUNCTION("IMPORTRANGE(""https://docs.google.com/spreadsheets/d/11923uPwbBZFjjGgGUA6NLw09EwE0CqkOc4q9oUmW1yo/edit?usp=sharing"",""กำแพงเพชร!L249"")"),0)</f>
        <v>0</v>
      </c>
      <c r="M354" s="168"/>
      <c r="N354" s="167">
        <f ca="1">IFERROR(__xludf.DUMMYFUNCTION("IMPORTRANGE(""https://docs.google.com/spreadsheets/d/11923uPwbBZFjjGgGUA6NLw09EwE0CqkOc4q9oUmW1yo/edit?usp=sharing"",""กำแพงเพชร!M249"")"),0)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IFERROR(__xludf.DUMMYFUNCTION("IMPORTRANGE(""https://docs.google.com/spreadsheets/d/11923uPwbBZFjjGgGUA6NLw09EwE0CqkOc4q9oUmW1yo/edit?usp=sharing"",""กำแพงเพชร!M250"")"),0)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IFERROR(__xludf.DUMMYFUNCTION("IMPORTRANGE(""https://docs.google.com/spreadsheets/d/11923uPwbBZFjjGgGUA6NLw09EwE0CqkOc4q9oUmW1yo/edit?usp=sharing"",""กำแพงเพชร!M251"")"),0)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IFERROR(__xludf.DUMMYFUNCTION("IMPORTRANGE(""https://docs.google.com/spreadsheets/d/11923uPwbBZFjjGgGUA6NLw09EwE0CqkOc4q9oUmW1yo/edit?usp=sharing"",""กำแพงเพชร!M252"")"),0)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IFERROR(__xludf.DUMMYFUNCTION("IMPORTRANGE(""https://docs.google.com/spreadsheets/d/11923uPwbBZFjjGgGUA6NLw09EwE0CqkOc4q9oUmW1yo/edit?usp=sharing"",""กำแพงเพชร!M253"")"),0)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IFERROR(__xludf.DUMMYFUNCTION("IMPORTRANGE(""https://docs.google.com/spreadsheets/d/11923uPwbBZFjjGgGUA6NLw09EwE0CqkOc4q9oUmW1yo/edit?usp=sharing"",""กำแพงเพชร!J255"")"),0)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IFERROR(__xludf.DUMMYFUNCTION("IMPORTRANGE(""https://docs.google.com/spreadsheets/d/11923uPwbBZFjjGgGUA6NLw09EwE0CqkOc4q9oUmW1yo/edit?usp=sharing"",""กำแพงเพชร!J256"")"),0)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IFERROR(__xludf.DUMMYFUNCTION("IMPORTRANGE(""https://docs.google.com/spreadsheets/d/11923uPwbBZFjjGgGUA6NLw09EwE0CqkOc4q9oUmW1yo/edit?usp=sharing"",""กำแพงเพชร!J257"")"),0)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IFERROR(__xludf.DUMMYFUNCTION("IMPORTRANGE(""https://docs.google.com/spreadsheets/d/11923uPwbBZFjjGgGUA6NLw09EwE0CqkOc4q9oUmW1yo/edit?usp=sharing"",""กำแพงเพชร!J258"")"),0)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IFERROR(__xludf.DUMMYFUNCTION("IMPORTRANGE(""https://docs.google.com/spreadsheets/d/11923uPwbBZFjjGgGUA6NLw09EwE0CqkOc4q9oUmW1yo/edit?usp=sharing"",""กำแพงเพชร!J166"")"),0)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IFERROR(__xludf.DUMMYFUNCTION("IMPORTRANGE(""https://docs.google.com/spreadsheets/d/11923uPwbBZFjjGgGUA6NLw09EwE0CqkOc4q9oUmW1yo/edit?usp=sharing"",""กำแพงเพชร!J166"")"),0)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IFERROR(__xludf.DUMMYFUNCTION("IMPORTRANGE(""https://docs.google.com/spreadsheets/d/11923uPwbBZFjjGgGUA6NLw09EwE0CqkOc4q9oUmW1yo/edit?usp=sharing"",""กำแพงเพชร!J166"")"),0)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IFERROR(__xludf.DUMMYFUNCTION("IMPORTRANGE(""https://docs.google.com/spreadsheets/d/11923uPwbBZFjjGgGUA6NLw09EwE0CqkOc4q9oUmW1yo/edit?usp=sharing"",""กำแพงเพชร!J166"")"),0)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IFERROR(__xludf.DUMMYFUNCTION("IMPORTRANGE(""https://docs.google.com/spreadsheets/d/11923uPwbBZFjjGgGUA6NLw09EwE0CqkOc4q9oUmW1yo/edit?usp=sharing"",""กำแพงเพชร!I263"")"),0)</f>
        <v>0</v>
      </c>
      <c r="J368" s="187">
        <f ca="1">IFERROR(__xludf.DUMMYFUNCTION("IMPORTRANGE(""https://docs.google.com/spreadsheets/d/11923uPwbBZFjjGgGUA6NLw09EwE0CqkOc4q9oUmW1yo/edit?usp=sharing"",""กำแพงเพชร!J263"")"),0)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IFERROR(__xludf.DUMMYFUNCTION("IMPORTRANGE(""https://docs.google.com/spreadsheets/d/11923uPwbBZFjjGgGUA6NLw09EwE0CqkOc4q9oUmW1yo/edit?usp=sharing"",""กำแพงเพชร!I164"")"),0)</f>
        <v>0</v>
      </c>
      <c r="J369" s="203">
        <f ca="1">IFERROR(__xludf.DUMMYFUNCTION("IMPORTRANGE(""https://docs.google.com/spreadsheets/d/11923uPwbBZFjjGgGUA6NLw09EwE0CqkOc4q9oUmW1yo/edit?usp=sharing"",""กำแพงเพชร!J164"")"),0)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IFERROR(__xludf.DUMMYFUNCTION("IMPORTRANGE(""https://docs.google.com/spreadsheets/d/11923uPwbBZFjjGgGUA6NLw09EwE0CqkOc4q9oUmW1yo/edit?usp=sharing"",""กำแพงเพชร!I265"")"),0)</f>
        <v>0</v>
      </c>
      <c r="J370" s="203">
        <f ca="1">IFERROR(__xludf.DUMMYFUNCTION("IMPORTRANGE(""https://docs.google.com/spreadsheets/d/11923uPwbBZFjjGgGUA6NLw09EwE0CqkOc4q9oUmW1yo/edit?usp=sharing"",""กำแพงเพชร!J265"")"),0)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IFERROR(__xludf.DUMMYFUNCTION("IMPORTRANGE(""https://docs.google.com/spreadsheets/d/11923uPwbBZFjjGgGUA6NLw09EwE0CqkOc4q9oUmW1yo/edit?usp=sharing"",""กำแพงเพชร!I164"")"),0)</f>
        <v>0</v>
      </c>
      <c r="J371" s="188">
        <f ca="1">IFERROR(__xludf.DUMMYFUNCTION("IMPORTRANGE(""https://docs.google.com/spreadsheets/d/11923uPwbBZFjjGgGUA6NLw09EwE0CqkOc4q9oUmW1yo/edit?usp=sharing"",""กำแพงเพชร!J164"")"),0)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IFERROR(__xludf.DUMMYFUNCTION("IMPORTRANGE(""https://docs.google.com/spreadsheets/d/11923uPwbBZFjjGgGUA6NLw09EwE0CqkOc4q9oUmW1yo/edit?usp=sharing"",""กำแพงเพชร!I267"")"),0)</f>
        <v>0</v>
      </c>
      <c r="J372" s="188">
        <f ca="1">IFERROR(__xludf.DUMMYFUNCTION("IMPORTRANGE(""https://docs.google.com/spreadsheets/d/11923uPwbBZFjjGgGUA6NLw09EwE0CqkOc4q9oUmW1yo/edit?usp=sharing"",""กำแพงเพชร!J267"")"),0)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IFERROR(__xludf.DUMMYFUNCTION("IMPORTRANGE(""https://docs.google.com/spreadsheets/d/11923uPwbBZFjjGgGUA6NLw09EwE0CqkOc4q9oUmW1yo/edit?usp=sharing"",""กำแพงเพชร!I164"")"),0)</f>
        <v>0</v>
      </c>
      <c r="J373" s="203">
        <f ca="1">IFERROR(__xludf.DUMMYFUNCTION("IMPORTRANGE(""https://docs.google.com/spreadsheets/d/11923uPwbBZFjjGgGUA6NLw09EwE0CqkOc4q9oUmW1yo/edit?usp=sharing"",""กำแพงเพชร!J164"")"),0)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IFERROR(__xludf.DUMMYFUNCTION("IMPORTRANGE(""https://docs.google.com/spreadsheets/d/11923uPwbBZFjjGgGUA6NLw09EwE0CqkOc4q9oUmW1yo/edit?usp=sharing"",""กำแพงเพชร!I164"")"),0)</f>
        <v>0</v>
      </c>
      <c r="J374" s="187">
        <f ca="1">IFERROR(__xludf.DUMMYFUNCTION("IMPORTRANGE(""https://docs.google.com/spreadsheets/d/11923uPwbBZFjjGgGUA6NLw09EwE0CqkOc4q9oUmW1yo/edit?usp=sharing"",""กำแพงเพชร!J164"")"),0)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IFERROR(__xludf.DUMMYFUNCTION("IMPORTRANGE(""https://docs.google.com/spreadsheets/d/11923uPwbBZFjjGgGUA6NLw09EwE0CqkOc4q9oUmW1yo/edit?usp=sharing"",""กำแพงเพชร!I270"")"),0)</f>
        <v>0</v>
      </c>
      <c r="J375" s="187">
        <f ca="1">IFERROR(__xludf.DUMMYFUNCTION("IMPORTRANGE(""https://docs.google.com/spreadsheets/d/11923uPwbBZFjjGgGUA6NLw09EwE0CqkOc4q9oUmW1yo/edit?usp=sharing"",""กำแพงเพชร!J270"")"),0)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IFERROR(__xludf.DUMMYFUNCTION("IMPORTRANGE(""https://docs.google.com/spreadsheets/d/11923uPwbBZFjjGgGUA6NLw09EwE0CqkOc4q9oUmW1yo/edit?usp=sharing"",""กำแพงเพชร!I271"")"),0)</f>
        <v>0</v>
      </c>
      <c r="J376" s="188">
        <f ca="1">IFERROR(__xludf.DUMMYFUNCTION("IMPORTRANGE(""https://docs.google.com/spreadsheets/d/11923uPwbBZFjjGgGUA6NLw09EwE0CqkOc4q9oUmW1yo/edit?usp=sharing"",""กำแพงเพชร!J271"")"),0)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IFERROR(__xludf.DUMMYFUNCTION("IMPORTRANGE(""https://docs.google.com/spreadsheets/d/11923uPwbBZFjjGgGUA6NLw09EwE0CqkOc4q9oUmW1yo/edit?usp=sharing"",""กำแพงเพชร!I272"")"),0)</f>
        <v>0</v>
      </c>
      <c r="J377" s="203">
        <f ca="1">IFERROR(__xludf.DUMMYFUNCTION("IMPORTRANGE(""https://docs.google.com/spreadsheets/d/11923uPwbBZFjjGgGUA6NLw09EwE0CqkOc4q9oUmW1yo/edit?usp=sharing"",""กำแพงเพชร!J272"")"),0)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IFERROR(__xludf.DUMMYFUNCTION("IMPORTRANGE(""https://docs.google.com/spreadsheets/d/11923uPwbBZFjjGgGUA6NLw09EwE0CqkOc4q9oUmW1yo/edit?usp=sharing"",""กำแพงเพชร!J273"")"),0)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IFERROR(__xludf.DUMMYFUNCTION("IMPORTRANGE(""https://docs.google.com/spreadsheets/d/11923uPwbBZFjjGgGUA6NLw09EwE0CqkOc4q9oUmW1yo/edit?usp=sharing"",""กำแพงเพชร!J274"")"),0)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IFERROR(__xludf.DUMMYFUNCTION("IMPORTRANGE(""https://docs.google.com/spreadsheets/d/11923uPwbBZFjjGgGUA6NLw09EwE0CqkOc4q9oUmW1yo/edit?usp=sharing"",""กำแพงเพชร!I275"")"),1000)</f>
        <v>1000</v>
      </c>
      <c r="J380" s="370">
        <f ca="1">IFERROR(__xludf.DUMMYFUNCTION("IMPORTRANGE(""https://docs.google.com/spreadsheets/d/11923uPwbBZFjjGgGUA6NLw09EwE0CqkOc4q9oUmW1yo/edit?usp=sharing"",""กำแพงเพชร!J275"")"),0)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IFERROR(__xludf.DUMMYFUNCTION("IMPORTRANGE(""https://docs.google.com/spreadsheets/d/11923uPwbBZFjjGgGUA6NLw09EwE0CqkOc4q9oUmW1yo/edit?usp=sharing"",""กำแพงเพชร!L275"")"),1028520)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IFERROR(__xludf.DUMMYFUNCTION("IMPORTRANGE(""https://docs.google.com/spreadsheets/d/11923uPwbBZFjjGgGUA6NLw09EwE0CqkOc4q9oUmW1yo/edit?usp=sharing"",""กำแพงเพชร!M275"")"),291715.589999999)</f>
        <v>291715.58999999898</v>
      </c>
      <c r="O380" s="372">
        <f ca="1">+IF(L380&gt;0,N380*100/L380,0)</f>
        <v>28.362656049469042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IFERROR(__xludf.DUMMYFUNCTION("IMPORTRANGE(""https://docs.google.com/spreadsheets/d/11923uPwbBZFjjGgGUA6NLw09EwE0CqkOc4q9oUmW1yo/edit?usp=sharing"",""กำแพงเพชร!I276"")"),100)</f>
        <v>100</v>
      </c>
      <c r="J381" s="370">
        <f ca="1">IFERROR(__xludf.DUMMYFUNCTION("IMPORTRANGE(""https://docs.google.com/spreadsheets/d/11923uPwbBZFjjGgGUA6NLw09EwE0CqkOc4q9oUmW1yo/edit?usp=sharing"",""กำแพงเพชร!J276"")"),100)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IFERROR(__xludf.DUMMYFUNCTION("IMPORTRANGE(""https://docs.google.com/spreadsheets/d/11923uPwbBZFjjGgGUA6NLw09EwE0CqkOc4q9oUmW1yo/edit?usp=sharing"",""กำแพงเพชร!L277"")"),0)</f>
        <v>0</v>
      </c>
      <c r="M382" s="164"/>
      <c r="N382" s="164">
        <f ca="1">IFERROR(__xludf.DUMMYFUNCTION("IMPORTRANGE(""https://docs.google.com/spreadsheets/d/11923uPwbBZFjjGgGUA6NLw09EwE0CqkOc4q9oUmW1yo/edit?usp=sharing"",""กำแพงเพชร!M277"")"),0)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IFERROR(__xludf.DUMMYFUNCTION("IMPORTRANGE(""https://docs.google.com/spreadsheets/d/11923uPwbBZFjjGgGUA6NLw09EwE0CqkOc4q9oUmW1yo/edit?usp=sharing"",""กำแพงเพชร!L278"")"),1028520)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IFERROR(__xludf.DUMMYFUNCTION("IMPORTRANGE(""https://docs.google.com/spreadsheets/d/11923uPwbBZFjjGgGUA6NLw09EwE0CqkOc4q9oUmW1yo/edit?usp=sharing"",""กำแพงเพชร!M278"")"),291715.589999999)</f>
        <v>291715.58999999898</v>
      </c>
      <c r="O383" s="165">
        <f t="shared" ca="1" si="109"/>
        <v>28.362656049469042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IFERROR(__xludf.DUMMYFUNCTION("IMPORTRANGE(""https://docs.google.com/spreadsheets/d/11923uPwbBZFjjGgGUA6NLw09EwE0CqkOc4q9oUmW1yo/edit?usp=sharing"",""กำแพงเพชร!L279"")"),0)</f>
        <v>0</v>
      </c>
      <c r="M384" s="168"/>
      <c r="N384" s="168">
        <f ca="1">IFERROR(__xludf.DUMMYFUNCTION("IMPORTRANGE(""https://docs.google.com/spreadsheets/d/11923uPwbBZFjjGgGUA6NLw09EwE0CqkOc4q9oUmW1yo/edit?usp=sharing"",""กำแพงเพชร!M279"")"),0)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IFERROR(__xludf.DUMMYFUNCTION("IMPORTRANGE(""https://docs.google.com/spreadsheets/d/11923uPwbBZFjjGgGUA6NLw09EwE0CqkOc4q9oUmW1yo/edit?usp=sharing"",""กำแพงเพชร!L280"")"),1028520)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IFERROR(__xludf.DUMMYFUNCTION("IMPORTRANGE(""https://docs.google.com/spreadsheets/d/11923uPwbBZFjjGgGUA6NLw09EwE0CqkOc4q9oUmW1yo/edit?usp=sharing"",""กำแพงเพชร!M280"")"),291715.589999999)</f>
        <v>291715.58999999898</v>
      </c>
      <c r="O385" s="168">
        <f t="shared" ca="1" si="109"/>
        <v>28.362656049469042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IFERROR(__xludf.DUMMYFUNCTION("IMPORTRANGE(""https://docs.google.com/spreadsheets/d/11923uPwbBZFjjGgGUA6NLw09EwE0CqkOc4q9oUmW1yo/edit?usp=sharing"",""กำแพงเพชร!M281"")"),198000)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IFERROR(__xludf.DUMMYFUNCTION("IMPORTRANGE(""https://docs.google.com/spreadsheets/d/11923uPwbBZFjjGgGUA6NLw09EwE0CqkOc4q9oUmW1yo/edit?usp=sharing"",""กำแพงเพชร!M282"")"),0)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IFERROR(__xludf.DUMMYFUNCTION("IMPORTRANGE(""https://docs.google.com/spreadsheets/d/11923uPwbBZFjjGgGUA6NLw09EwE0CqkOc4q9oUmW1yo/edit?usp=sharing"",""กำแพงเพชร!M283"")"),73413.59)</f>
        <v>73413.59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IFERROR(__xludf.DUMMYFUNCTION("IMPORTRANGE(""https://docs.google.com/spreadsheets/d/11923uPwbBZFjjGgGUA6NLw09EwE0CqkOc4q9oUmW1yo/edit?usp=sharing"",""กำแพงเพชร!M284"")"),20302)</f>
        <v>20302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IFERROR(__xludf.DUMMYFUNCTION("IMPORTRANGE(""https://docs.google.com/spreadsheets/d/11923uPwbBZFjjGgGUA6NLw09EwE0CqkOc4q9oUmW1yo/edit?usp=sharing"",""กำแพงเพชร!J286"")"),0)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IFERROR(__xludf.DUMMYFUNCTION("IMPORTRANGE(""https://docs.google.com/spreadsheets/d/11923uPwbBZFjjGgGUA6NLw09EwE0CqkOc4q9oUmW1yo/edit?usp=sharing"",""กำแพงเพชร!J287"")"),1)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IFERROR(__xludf.DUMMYFUNCTION("IMPORTRANGE(""https://docs.google.com/spreadsheets/d/11923uPwbBZFjjGgGUA6NLw09EwE0CqkOc4q9oUmW1yo/edit?usp=sharing"",""กำแพงเพชร!J288"")"),1)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IFERROR(__xludf.DUMMYFUNCTION("IMPORTRANGE(""https://docs.google.com/spreadsheets/d/11923uPwbBZFjjGgGUA6NLw09EwE0CqkOc4q9oUmW1yo/edit?usp=sharing"",""กำแพงเพชร!J289"")"),1)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IFERROR(__xludf.DUMMYFUNCTION("IMPORTRANGE(""https://docs.google.com/spreadsheets/d/11923uPwbBZFjjGgGUA6NLw09EwE0CqkOc4q9oUmW1yo/edit?usp=sharing"",""กำแพงเพชร!I291"")"),100)</f>
        <v>100</v>
      </c>
      <c r="J396" s="197">
        <f ca="1">IFERROR(__xludf.DUMMYFUNCTION("IMPORTRANGE(""https://docs.google.com/spreadsheets/d/11923uPwbBZFjjGgGUA6NLw09EwE0CqkOc4q9oUmW1yo/edit?usp=sharing"",""กำแพงเพชร!J291"")"),100)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IFERROR(__xludf.DUMMYFUNCTION("IMPORTRANGE(""https://docs.google.com/spreadsheets/d/11923uPwbBZFjjGgGUA6NLw09EwE0CqkOc4q9oUmW1yo/edit?usp=sharing"",""กำแพงเพชร!I292"")"),1000)</f>
        <v>1000</v>
      </c>
      <c r="J397" s="197">
        <f ca="1">IFERROR(__xludf.DUMMYFUNCTION("IMPORTRANGE(""https://docs.google.com/spreadsheets/d/11923uPwbBZFjjGgGUA6NLw09EwE0CqkOc4q9oUmW1yo/edit?usp=sharing"",""กำแพงเพชร!J292"")"),0)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IFERROR(__xludf.DUMMYFUNCTION("IMPORTRANGE(""https://docs.google.com/spreadsheets/d/11923uPwbBZFjjGgGUA6NLw09EwE0CqkOc4q9oUmW1yo/edit?usp=sharing"",""กำแพงเพชร!I293"")"),100)</f>
        <v>100</v>
      </c>
      <c r="J398" s="197">
        <f ca="1">IFERROR(__xludf.DUMMYFUNCTION("IMPORTRANGE(""https://docs.google.com/spreadsheets/d/11923uPwbBZFjjGgGUA6NLw09EwE0CqkOc4q9oUmW1yo/edit?usp=sharing"",""กำแพงเพชร!J293"")"),0)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IFERROR(__xludf.DUMMYFUNCTION("IMPORTRANGE(""https://docs.google.com/spreadsheets/d/11923uPwbBZFjjGgGUA6NLw09EwE0CqkOc4q9oUmW1yo/edit?usp=sharing"",""กำแพงเพชร!J294"")"),0)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IFERROR(__xludf.DUMMYFUNCTION("IMPORTRANGE(""https://docs.google.com/spreadsheets/d/11923uPwbBZFjjGgGUA6NLw09EwE0CqkOc4q9oUmW1yo/edit?usp=sharing"",""กำแพงเพชร!J295"")"),0)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IFERROR(__xludf.DUMMYFUNCTION("IMPORTRANGE(""https://docs.google.com/spreadsheets/d/11923uPwbBZFjjGgGUA6NLw09EwE0CqkOc4q9oUmW1yo/edit?usp=sharing"",""กำแพงเพชร!I296"")"),135)</f>
        <v>135</v>
      </c>
      <c r="J401" s="370">
        <f ca="1">IFERROR(__xludf.DUMMYFUNCTION("IMPORTRANGE(""https://docs.google.com/spreadsheets/d/11923uPwbBZFjjGgGUA6NLw09EwE0CqkOc4q9oUmW1yo/edit?usp=sharing"",""กำแพงเพชร!J296"")"),135)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IFERROR(__xludf.DUMMYFUNCTION("IMPORTRANGE(""https://docs.google.com/spreadsheets/d/11923uPwbBZFjjGgGUA6NLw09EwE0CqkOc4q9oUmW1yo/edit?usp=sharing"",""กำแพงเพชร!L296"")"),159950)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IFERROR(__xludf.DUMMYFUNCTION("IMPORTRANGE(""https://docs.google.com/spreadsheets/d/11923uPwbBZFjjGgGUA6NLw09EwE0CqkOc4q9oUmW1yo/edit?usp=sharing"",""กำแพงเพชร!M296"")"),158443)</f>
        <v>158443</v>
      </c>
      <c r="O401" s="372">
        <f ca="1">+IF(L401&gt;0,N401*100/L401,0)</f>
        <v>99.05783057205376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IFERROR(__xludf.DUMMYFUNCTION("IMPORTRANGE(""https://docs.google.com/spreadsheets/d/11923uPwbBZFjjGgGUA6NLw09EwE0CqkOc4q9oUmW1yo/edit?usp=sharing"",""กำแพงเพชร!I297"")"),45)</f>
        <v>45</v>
      </c>
      <c r="J402" s="370">
        <f ca="1">IFERROR(__xludf.DUMMYFUNCTION("IMPORTRANGE(""https://docs.google.com/spreadsheets/d/11923uPwbBZFjjGgGUA6NLw09EwE0CqkOc4q9oUmW1yo/edit?usp=sharing"",""กำแพงเพชร!J297"")"),45)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IFERROR(__xludf.DUMMYFUNCTION("IMPORTRANGE(""https://docs.google.com/spreadsheets/d/11923uPwbBZFjjGgGUA6NLw09EwE0CqkOc4q9oUmW1yo/edit?usp=sharing"",""กำแพงเพชร!L298"")"),0)</f>
        <v>0</v>
      </c>
      <c r="M403" s="164"/>
      <c r="N403" s="168">
        <f ca="1">IFERROR(__xludf.DUMMYFUNCTION("IMPORTRANGE(""https://docs.google.com/spreadsheets/d/11923uPwbBZFjjGgGUA6NLw09EwE0CqkOc4q9oUmW1yo/edit?usp=sharing"",""กำแพงเพชร!M298"")"),0)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IFERROR(__xludf.DUMMYFUNCTION("IMPORTRANGE(""https://docs.google.com/spreadsheets/d/11923uPwbBZFjjGgGUA6NLw09EwE0CqkOc4q9oUmW1yo/edit?usp=sharing"",""กำแพงเพชร!L299"")"),159950)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IFERROR(__xludf.DUMMYFUNCTION("IMPORTRANGE(""https://docs.google.com/spreadsheets/d/11923uPwbBZFjjGgGUA6NLw09EwE0CqkOc4q9oUmW1yo/edit?usp=sharing"",""กำแพงเพชร!M299"")"),158443)</f>
        <v>158443</v>
      </c>
      <c r="O404" s="168">
        <f t="shared" ca="1" si="112"/>
        <v>99.05783057205376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IFERROR(__xludf.DUMMYFUNCTION("IMPORTRANGE(""https://docs.google.com/spreadsheets/d/11923uPwbBZFjjGgGUA6NLw09EwE0CqkOc4q9oUmW1yo/edit?usp=sharing"",""กำแพงเพชร!L300"")"),0)</f>
        <v>0</v>
      </c>
      <c r="M405" s="168"/>
      <c r="N405" s="168">
        <f ca="1">IFERROR(__xludf.DUMMYFUNCTION("IMPORTRANGE(""https://docs.google.com/spreadsheets/d/11923uPwbBZFjjGgGUA6NLw09EwE0CqkOc4q9oUmW1yo/edit?usp=sharing"",""กำแพงเพชร!M300"")"),0)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IFERROR(__xludf.DUMMYFUNCTION("IMPORTRANGE(""https://docs.google.com/spreadsheets/d/11923uPwbBZFjjGgGUA6NLw09EwE0CqkOc4q9oUmW1yo/edit?usp=sharing"",""กำแพงเพชร!L301"")"),159950)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IFERROR(__xludf.DUMMYFUNCTION("IMPORTRANGE(""https://docs.google.com/spreadsheets/d/11923uPwbBZFjjGgGUA6NLw09EwE0CqkOc4q9oUmW1yo/edit?usp=sharing"",""กำแพงเพชร!M301"")"),158443)</f>
        <v>158443</v>
      </c>
      <c r="O406" s="168">
        <f t="shared" ca="1" si="112"/>
        <v>99.05783057205376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IFERROR(__xludf.DUMMYFUNCTION("IMPORTRANGE(""https://docs.google.com/spreadsheets/d/11923uPwbBZFjjGgGUA6NLw09EwE0CqkOc4q9oUmW1yo/edit?usp=sharing"",""กำแพงเพชร!M302"")"),97550)</f>
        <v>97550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IFERROR(__xludf.DUMMYFUNCTION("IMPORTRANGE(""https://docs.google.com/spreadsheets/d/11923uPwbBZFjjGgGUA6NLw09EwE0CqkOc4q9oUmW1yo/edit?usp=sharing"",""กำแพงเพชร!M303"")"),32500)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IFERROR(__xludf.DUMMYFUNCTION("IMPORTRANGE(""https://docs.google.com/spreadsheets/d/11923uPwbBZFjjGgGUA6NLw09EwE0CqkOc4q9oUmW1yo/edit?usp=sharing"",""กำแพงเพชร!M304"")"),0)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IFERROR(__xludf.DUMMYFUNCTION("IMPORTRANGE(""https://docs.google.com/spreadsheets/d/11923uPwbBZFjjGgGUA6NLw09EwE0CqkOc4q9oUmW1yo/edit?usp=sharing"",""กำแพงเพชร!M305"")"),28393)</f>
        <v>28393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IFERROR(__xludf.DUMMYFUNCTION("IMPORTRANGE(""https://docs.google.com/spreadsheets/d/11923uPwbBZFjjGgGUA6NLw09EwE0CqkOc4q9oUmW1yo/edit?usp=sharing"",""กำแพงเพชร!J307"")"),0)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IFERROR(__xludf.DUMMYFUNCTION("IMPORTRANGE(""https://docs.google.com/spreadsheets/d/11923uPwbBZFjjGgGUA6NLw09EwE0CqkOc4q9oUmW1yo/edit?usp=sharing"",""กำแพงเพชร!J308"")"),1)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IFERROR(__xludf.DUMMYFUNCTION("IMPORTRANGE(""https://docs.google.com/spreadsheets/d/11923uPwbBZFjjGgGUA6NLw09EwE0CqkOc4q9oUmW1yo/edit?usp=sharing"",""กำแพงเพชร!J309"")"),1)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IFERROR(__xludf.DUMMYFUNCTION("IMPORTRANGE(""https://docs.google.com/spreadsheets/d/11923uPwbBZFjjGgGUA6NLw09EwE0CqkOc4q9oUmW1yo/edit?usp=sharing"",""กำแพงเพชร!J310"")"),1)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IFERROR(__xludf.DUMMYFUNCTION("IMPORTRANGE(""https://docs.google.com/spreadsheets/d/11923uPwbBZFjjGgGUA6NLw09EwE0CqkOc4q9oUmW1yo/edit?usp=sharing"",""กำแพงเพชร!I311"")"),45)</f>
        <v>45</v>
      </c>
      <c r="J416" s="200">
        <f ca="1">IFERROR(__xludf.DUMMYFUNCTION("IMPORTRANGE(""https://docs.google.com/spreadsheets/d/11923uPwbBZFjjGgGUA6NLw09EwE0CqkOc4q9oUmW1yo/edit?usp=sharing"",""กำแพงเพชร!J311"")"),45)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IFERROR(__xludf.DUMMYFUNCTION("IMPORTRANGE(""https://docs.google.com/spreadsheets/d/11923uPwbBZFjjGgGUA6NLw09EwE0CqkOc4q9oUmW1yo/edit?usp=sharing"",""กำแพงเพชร!I312"")"),10)</f>
        <v>10</v>
      </c>
      <c r="J417" s="391">
        <f ca="1">IFERROR(__xludf.DUMMYFUNCTION("IMPORTRANGE(""https://docs.google.com/spreadsheets/d/11923uPwbBZFjjGgGUA6NLw09EwE0CqkOc4q9oUmW1yo/edit?usp=sharing"",""กำแพงเพชร!J312"")"),10)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IFERROR(__xludf.DUMMYFUNCTION("IMPORTRANGE(""https://docs.google.com/spreadsheets/d/11923uPwbBZFjjGgGUA6NLw09EwE0CqkOc4q9oUmW1yo/edit?usp=sharing"",""กำแพงเพชร!I313"")"),30)</f>
        <v>30</v>
      </c>
      <c r="J418" s="392">
        <f ca="1">IFERROR(__xludf.DUMMYFUNCTION("IMPORTRANGE(""https://docs.google.com/spreadsheets/d/11923uPwbBZFjjGgGUA6NLw09EwE0CqkOc4q9oUmW1yo/edit?usp=sharing"",""กำแพงเพชร!J313"")"),30)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IFERROR(__xludf.DUMMYFUNCTION("IMPORTRANGE(""https://docs.google.com/spreadsheets/d/11923uPwbBZFjjGgGUA6NLw09EwE0CqkOc4q9oUmW1yo/edit?usp=sharing"",""กำแพงเพชร!I314"")"),10)</f>
        <v>10</v>
      </c>
      <c r="J419" s="393">
        <f ca="1">IFERROR(__xludf.DUMMYFUNCTION("IMPORTRANGE(""https://docs.google.com/spreadsheets/d/11923uPwbBZFjjGgGUA6NLw09EwE0CqkOc4q9oUmW1yo/edit?usp=sharing"",""กำแพงเพชร!J314"")"),10)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IFERROR(__xludf.DUMMYFUNCTION("IMPORTRANGE(""https://docs.google.com/spreadsheets/d/11923uPwbBZFjjGgGUA6NLw09EwE0CqkOc4q9oUmW1yo/edit?usp=sharing"",""กำแพงเพชร!I315"")"),10)</f>
        <v>10</v>
      </c>
      <c r="J420" s="393">
        <f ca="1">IFERROR(__xludf.DUMMYFUNCTION("IMPORTRANGE(""https://docs.google.com/spreadsheets/d/11923uPwbBZFjjGgGUA6NLw09EwE0CqkOc4q9oUmW1yo/edit?usp=sharing"",""กำแพงเพชร!J315"")"),10)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IFERROR(__xludf.DUMMYFUNCTION("IMPORTRANGE(""https://docs.google.com/spreadsheets/d/11923uPwbBZFjjGgGUA6NLw09EwE0CqkOc4q9oUmW1yo/edit?usp=sharing"",""กำแพงเพชร!I316"")"),25)</f>
        <v>25</v>
      </c>
      <c r="J421" s="391">
        <f ca="1">IFERROR(__xludf.DUMMYFUNCTION("IMPORTRANGE(""https://docs.google.com/spreadsheets/d/11923uPwbBZFjjGgGUA6NLw09EwE0CqkOc4q9oUmW1yo/edit?usp=sharing"",""กำแพงเพชร!J316"")"),25)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IFERROR(__xludf.DUMMYFUNCTION("IMPORTRANGE(""https://docs.google.com/spreadsheets/d/11923uPwbBZFjjGgGUA6NLw09EwE0CqkOc4q9oUmW1yo/edit?usp=sharing"",""กำแพงเพชร!I317"")"),75)</f>
        <v>75</v>
      </c>
      <c r="J422" s="392">
        <f ca="1">IFERROR(__xludf.DUMMYFUNCTION("IMPORTRANGE(""https://docs.google.com/spreadsheets/d/11923uPwbBZFjjGgGUA6NLw09EwE0CqkOc4q9oUmW1yo/edit?usp=sharing"",""กำแพงเพชร!J317"")"),75)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IFERROR(__xludf.DUMMYFUNCTION("IMPORTRANGE(""https://docs.google.com/spreadsheets/d/11923uPwbBZFjjGgGUA6NLw09EwE0CqkOc4q9oUmW1yo/edit?usp=sharing"",""กำแพงเพชร!I318"")"),25)</f>
        <v>25</v>
      </c>
      <c r="J423" s="393">
        <f ca="1">IFERROR(__xludf.DUMMYFUNCTION("IMPORTRANGE(""https://docs.google.com/spreadsheets/d/11923uPwbBZFjjGgGUA6NLw09EwE0CqkOc4q9oUmW1yo/edit?usp=sharing"",""กำแพงเพชร!J318"")"),25)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IFERROR(__xludf.DUMMYFUNCTION("IMPORTRANGE(""https://docs.google.com/spreadsheets/d/11923uPwbBZFjjGgGUA6NLw09EwE0CqkOc4q9oUmW1yo/edit?usp=sharing"",""กำแพงเพชร!I319"")"),25)</f>
        <v>25</v>
      </c>
      <c r="J424" s="393">
        <f ca="1">IFERROR(__xludf.DUMMYFUNCTION("IMPORTRANGE(""https://docs.google.com/spreadsheets/d/11923uPwbBZFjjGgGUA6NLw09EwE0CqkOc4q9oUmW1yo/edit?usp=sharing"",""กำแพงเพชร!J319"")"),25)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IFERROR(__xludf.DUMMYFUNCTION("IMPORTRANGE(""https://docs.google.com/spreadsheets/d/11923uPwbBZFjjGgGUA6NLw09EwE0CqkOc4q9oUmW1yo/edit?usp=sharing"",""กำแพงเพชร!I320"")"),25)</f>
        <v>25</v>
      </c>
      <c r="J425" s="393">
        <f ca="1">IFERROR(__xludf.DUMMYFUNCTION("IMPORTRANGE(""https://docs.google.com/spreadsheets/d/11923uPwbBZFjjGgGUA6NLw09EwE0CqkOc4q9oUmW1yo/edit?usp=sharing"",""กำแพงเพชร!J320"")"),25)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IFERROR(__xludf.DUMMYFUNCTION("IMPORTRANGE(""https://docs.google.com/spreadsheets/d/11923uPwbBZFjjGgGUA6NLw09EwE0CqkOc4q9oUmW1yo/edit?usp=sharing"",""กำแพงเพชร!I321"")"),10)</f>
        <v>10</v>
      </c>
      <c r="J426" s="391">
        <f ca="1">IFERROR(__xludf.DUMMYFUNCTION("IMPORTRANGE(""https://docs.google.com/spreadsheets/d/11923uPwbBZFjjGgGUA6NLw09EwE0CqkOc4q9oUmW1yo/edit?usp=sharing"",""กำแพงเพชร!J321"")"),10)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IFERROR(__xludf.DUMMYFUNCTION("IMPORTRANGE(""https://docs.google.com/spreadsheets/d/11923uPwbBZFjjGgGUA6NLw09EwE0CqkOc4q9oUmW1yo/edit?usp=sharing"",""กำแพงเพชร!I322"")"),30)</f>
        <v>30</v>
      </c>
      <c r="J427" s="392">
        <f ca="1">IFERROR(__xludf.DUMMYFUNCTION("IMPORTRANGE(""https://docs.google.com/spreadsheets/d/11923uPwbBZFjjGgGUA6NLw09EwE0CqkOc4q9oUmW1yo/edit?usp=sharing"",""กำแพงเพชร!J322"")"),30)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IFERROR(__xludf.DUMMYFUNCTION("IMPORTRANGE(""https://docs.google.com/spreadsheets/d/11923uPwbBZFjjGgGUA6NLw09EwE0CqkOc4q9oUmW1yo/edit?usp=sharing"",""กำแพงเพชร!I323"")"),10)</f>
        <v>10</v>
      </c>
      <c r="J428" s="393">
        <f ca="1">IFERROR(__xludf.DUMMYFUNCTION("IMPORTRANGE(""https://docs.google.com/spreadsheets/d/11923uPwbBZFjjGgGUA6NLw09EwE0CqkOc4q9oUmW1yo/edit?usp=sharing"",""กำแพงเพชร!J323"")"),10)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IFERROR(__xludf.DUMMYFUNCTION("IMPORTRANGE(""https://docs.google.com/spreadsheets/d/11923uPwbBZFjjGgGUA6NLw09EwE0CqkOc4q9oUmW1yo/edit?usp=sharing"",""กำแพงเพชร!I324"")"),10)</f>
        <v>10</v>
      </c>
      <c r="J429" s="393">
        <f ca="1">IFERROR(__xludf.DUMMYFUNCTION("IMPORTRANGE(""https://docs.google.com/spreadsheets/d/11923uPwbBZFjjGgGUA6NLw09EwE0CqkOc4q9oUmW1yo/edit?usp=sharing"",""กำแพงเพชร!J324"")"),10)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IFERROR(__xludf.DUMMYFUNCTION("IMPORTRANGE(""https://docs.google.com/spreadsheets/d/11923uPwbBZFjjGgGUA6NLw09EwE0CqkOc4q9oUmW1yo/edit?usp=sharing"",""กำแพงเพชร!I325"")"),35)</f>
        <v>35</v>
      </c>
      <c r="J430" s="391">
        <f ca="1">IFERROR(__xludf.DUMMYFUNCTION("IMPORTRANGE(""https://docs.google.com/spreadsheets/d/11923uPwbBZFjjGgGUA6NLw09EwE0CqkOc4q9oUmW1yo/edit?usp=sharing"",""กำแพงเพชร!J325"")"),35)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IFERROR(__xludf.DUMMYFUNCTION("IMPORTRANGE(""https://docs.google.com/spreadsheets/d/11923uPwbBZFjjGgGUA6NLw09EwE0CqkOc4q9oUmW1yo/edit?usp=sharing"",""กำแพงเพชร!I326"")"),10)</f>
        <v>10</v>
      </c>
      <c r="J431" s="393">
        <f ca="1">IFERROR(__xludf.DUMMYFUNCTION("IMPORTRANGE(""https://docs.google.com/spreadsheets/d/11923uPwbBZFjjGgGUA6NLw09EwE0CqkOc4q9oUmW1yo/edit?usp=sharing"",""กำแพงเพชร!J326"")"),10)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IFERROR(__xludf.DUMMYFUNCTION("IMPORTRANGE(""https://docs.google.com/spreadsheets/d/11923uPwbBZFjjGgGUA6NLw09EwE0CqkOc4q9oUmW1yo/edit?usp=sharing"",""กำแพงเพชร!I327"")"),25)</f>
        <v>25</v>
      </c>
      <c r="J432" s="393">
        <f ca="1">IFERROR(__xludf.DUMMYFUNCTION("IMPORTRANGE(""https://docs.google.com/spreadsheets/d/11923uPwbBZFjjGgGUA6NLw09EwE0CqkOc4q9oUmW1yo/edit?usp=sharing"",""กำแพงเพชร!J327"")"),25)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IFERROR(__xludf.DUMMYFUNCTION("IMPORTRANGE(""https://docs.google.com/spreadsheets/d/11923uPwbBZFjjGgGUA6NLw09EwE0CqkOc4q9oUmW1yo/edit?usp=sharing"",""กำแพงเพชร!J328"")"),0)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IFERROR(__xludf.DUMMYFUNCTION("IMPORTRANGE(""https://docs.google.com/spreadsheets/d/11923uPwbBZFjjGgGUA6NLw09EwE0CqkOc4q9oUmW1yo/edit?usp=sharing"",""กำแพงเพชร!J329"")"),0)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IFERROR(__xludf.DUMMYFUNCTION("IMPORTRANGE(""https://docs.google.com/spreadsheets/d/11923uPwbBZFjjGgGUA6NLw09EwE0CqkOc4q9oUmW1yo/edit?usp=sharing"",""กำแพงเพชร!I330"")"),40)</f>
        <v>40</v>
      </c>
      <c r="J435" s="409">
        <f ca="1">IFERROR(__xludf.DUMMYFUNCTION("IMPORTRANGE(""https://docs.google.com/spreadsheets/d/11923uPwbBZFjjGgGUA6NLw09EwE0CqkOc4q9oUmW1yo/edit?usp=sharing"",""กำแพงเพชร!J330"")"),40)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IFERROR(__xludf.DUMMYFUNCTION("IMPORTRANGE(""https://docs.google.com/spreadsheets/d/11923uPwbBZFjjGgGUA6NLw09EwE0CqkOc4q9oUmW1yo/edit?usp=sharing"",""กำแพงเพชร!L330"")"),139600)</f>
        <v>139600</v>
      </c>
      <c r="M435" s="411"/>
      <c r="N435" s="411">
        <f ca="1">IFERROR(__xludf.DUMMYFUNCTION("IMPORTRANGE(""https://docs.google.com/spreadsheets/d/11923uPwbBZFjjGgGUA6NLw09EwE0CqkOc4q9oUmW1yo/edit?usp=sharing"",""กำแพงเพชร!M330"")"),111249)</f>
        <v>111249</v>
      </c>
      <c r="O435" s="411">
        <f t="shared" ref="O435:O439" ca="1" si="114">+IF(L435&gt;0,N435*100/L435,0)</f>
        <v>79.691260744985669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IFERROR(__xludf.DUMMYFUNCTION("IMPORTRANGE(""https://docs.google.com/spreadsheets/d/11923uPwbBZFjjGgGUA6NLw09EwE0CqkOc4q9oUmW1yo/edit?usp=sharing"",""กำแพงเพชร!L331"")"),0)</f>
        <v>0</v>
      </c>
      <c r="M436" s="164"/>
      <c r="N436" s="168">
        <f ca="1">IFERROR(__xludf.DUMMYFUNCTION("IMPORTRANGE(""https://docs.google.com/spreadsheets/d/11923uPwbBZFjjGgGUA6NLw09EwE0CqkOc4q9oUmW1yo/edit?usp=sharing"",""กำแพงเพชร!M331"")"),0)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IFERROR(__xludf.DUMMYFUNCTION("IMPORTRANGE(""https://docs.google.com/spreadsheets/d/11923uPwbBZFjjGgGUA6NLw09EwE0CqkOc4q9oUmW1yo/edit?usp=sharing"",""กำแพงเพชร!L332"")"),139600)</f>
        <v>139600</v>
      </c>
      <c r="M437" s="165"/>
      <c r="N437" s="168">
        <f ca="1">IFERROR(__xludf.DUMMYFUNCTION("IMPORTRANGE(""https://docs.google.com/spreadsheets/d/11923uPwbBZFjjGgGUA6NLw09EwE0CqkOc4q9oUmW1yo/edit?usp=sharing"",""กำแพงเพชร!M332"")"),111249)</f>
        <v>111249</v>
      </c>
      <c r="O437" s="168">
        <f t="shared" ca="1" si="114"/>
        <v>79.691260744985669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IFERROR(__xludf.DUMMYFUNCTION("IMPORTRANGE(""https://docs.google.com/spreadsheets/d/11923uPwbBZFjjGgGUA6NLw09EwE0CqkOc4q9oUmW1yo/edit?usp=sharing"",""กำแพงเพชร!L333"")"),0)</f>
        <v>0</v>
      </c>
      <c r="M438" s="168"/>
      <c r="N438" s="168">
        <f ca="1">IFERROR(__xludf.DUMMYFUNCTION("IMPORTRANGE(""https://docs.google.com/spreadsheets/d/11923uPwbBZFjjGgGUA6NLw09EwE0CqkOc4q9oUmW1yo/edit?usp=sharing"",""กำแพงเพชร!M333"")"),0)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IFERROR(__xludf.DUMMYFUNCTION("IMPORTRANGE(""https://docs.google.com/spreadsheets/d/11923uPwbBZFjjGgGUA6NLw09EwE0CqkOc4q9oUmW1yo/edit?usp=sharing"",""กำแพงเพชร!L334"")"),139600)</f>
        <v>139600</v>
      </c>
      <c r="M439" s="168"/>
      <c r="N439" s="168">
        <f ca="1">IFERROR(__xludf.DUMMYFUNCTION("IMPORTRANGE(""https://docs.google.com/spreadsheets/d/11923uPwbBZFjjGgGUA6NLw09EwE0CqkOc4q9oUmW1yo/edit?usp=sharing"",""กำแพงเพชร!M334"")"),111249)</f>
        <v>111249</v>
      </c>
      <c r="O439" s="168">
        <f t="shared" ca="1" si="114"/>
        <v>79.691260744985669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IFERROR(__xludf.DUMMYFUNCTION("IMPORTRANGE(""https://docs.google.com/spreadsheets/d/11923uPwbBZFjjGgGUA6NLw09EwE0CqkOc4q9oUmW1yo/edit?usp=sharing"",""กำแพงเพชร!M335"")"),88359)</f>
        <v>88359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IFERROR(__xludf.DUMMYFUNCTION("IMPORTRANGE(""https://docs.google.com/spreadsheets/d/11923uPwbBZFjjGgGUA6NLw09EwE0CqkOc4q9oUmW1yo/edit?usp=sharing"",""กำแพงเพชร!M336"")"),0)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IFERROR(__xludf.DUMMYFUNCTION("IMPORTRANGE(""https://docs.google.com/spreadsheets/d/11923uPwbBZFjjGgGUA6NLw09EwE0CqkOc4q9oUmW1yo/edit?usp=sharing"",""กำแพงเพชร!M337"")"),0)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IFERROR(__xludf.DUMMYFUNCTION("IMPORTRANGE(""https://docs.google.com/spreadsheets/d/11923uPwbBZFjjGgGUA6NLw09EwE0CqkOc4q9oUmW1yo/edit?usp=sharing"",""กำแพงเพชร!M338"")"),22890)</f>
        <v>22890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IFERROR(__xludf.DUMMYFUNCTION("IMPORTRANGE(""https://docs.google.com/spreadsheets/d/11923uPwbBZFjjGgGUA6NLw09EwE0CqkOc4q9oUmW1yo/edit?usp=sharing"",""กำแพงเพชร!J340"")"),0)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IFERROR(__xludf.DUMMYFUNCTION("IMPORTRANGE(""https://docs.google.com/spreadsheets/d/11923uPwbBZFjjGgGUA6NLw09EwE0CqkOc4q9oUmW1yo/edit?usp=sharing"",""กำแพงเพชร!J341"")"),1)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IFERROR(__xludf.DUMMYFUNCTION("IMPORTRANGE(""https://docs.google.com/spreadsheets/d/11923uPwbBZFjjGgGUA6NLw09EwE0CqkOc4q9oUmW1yo/edit?usp=sharing"",""กำแพงเพชร!J342"")"),1)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IFERROR(__xludf.DUMMYFUNCTION("IMPORTRANGE(""https://docs.google.com/spreadsheets/d/11923uPwbBZFjjGgGUA6NLw09EwE0CqkOc4q9oUmW1yo/edit?usp=sharing"",""กำแพงเพชร!J343"")"),1)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IFERROR(__xludf.DUMMYFUNCTION("IMPORTRANGE(""https://docs.google.com/spreadsheets/d/11923uPwbBZFjjGgGUA6NLw09EwE0CqkOc4q9oUmW1yo/edit?usp=sharing"",""กำแพงเพชร!I344"")"),40)</f>
        <v>40</v>
      </c>
      <c r="J449" s="200">
        <f ca="1">IFERROR(__xludf.DUMMYFUNCTION("IMPORTRANGE(""https://docs.google.com/spreadsheets/d/11923uPwbBZFjjGgGUA6NLw09EwE0CqkOc4q9oUmW1yo/edit?usp=sharing"",""กำแพงเพชร!J344"")"),40)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IFERROR(__xludf.DUMMYFUNCTION("IMPORTRANGE(""https://docs.google.com/spreadsheets/d/11923uPwbBZFjjGgGUA6NLw09EwE0CqkOc4q9oUmW1yo/edit?usp=sharing"",""กำแพงเพชร!I345"")"),20)</f>
        <v>20</v>
      </c>
      <c r="J450" s="188">
        <f ca="1">IFERROR(__xludf.DUMMYFUNCTION("IMPORTRANGE(""https://docs.google.com/spreadsheets/d/11923uPwbBZFjjGgGUA6NLw09EwE0CqkOc4q9oUmW1yo/edit?usp=sharing"",""กำแพงเพชร!J345"")"),20)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IFERROR(__xludf.DUMMYFUNCTION("IMPORTRANGE(""https://docs.google.com/spreadsheets/d/11923uPwbBZFjjGgGUA6NLw09EwE0CqkOc4q9oUmW1yo/edit?usp=sharing"",""กำแพงเพชร!I346"")"),20)</f>
        <v>20</v>
      </c>
      <c r="J451" s="187">
        <f ca="1">IFERROR(__xludf.DUMMYFUNCTION("IMPORTRANGE(""https://docs.google.com/spreadsheets/d/11923uPwbBZFjjGgGUA6NLw09EwE0CqkOc4q9oUmW1yo/edit?usp=sharing"",""กำแพงเพชร!J346"")"),20)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IFERROR(__xludf.DUMMYFUNCTION("IMPORTRANGE(""https://docs.google.com/spreadsheets/d/11923uPwbBZFjjGgGUA6NLw09EwE0CqkOc4q9oUmW1yo/edit?usp=sharing"",""กำแพงเพชร!I347"")"),0)</f>
        <v>0</v>
      </c>
      <c r="J452" s="187">
        <f ca="1">IFERROR(__xludf.DUMMYFUNCTION("IMPORTRANGE(""https://docs.google.com/spreadsheets/d/11923uPwbBZFjjGgGUA6NLw09EwE0CqkOc4q9oUmW1yo/edit?usp=sharing"",""กำแพงเพชร!J347"")"),0)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IFERROR(__xludf.DUMMYFUNCTION("IMPORTRANGE(""https://docs.google.com/spreadsheets/d/11923uPwbBZFjjGgGUA6NLw09EwE0CqkOc4q9oUmW1yo/edit?usp=sharing"",""กำแพงเพชร!J348"")"),0)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IFERROR(__xludf.DUMMYFUNCTION("IMPORTRANGE(""https://docs.google.com/spreadsheets/d/11923uPwbBZFjjGgGUA6NLw09EwE0CqkOc4q9oUmW1yo/edit?usp=sharing"",""กำแพงเพชร!J349"")"),0)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IFERROR(__xludf.DUMMYFUNCTION("IMPORTRANGE(""https://docs.google.com/spreadsheets/d/11923uPwbBZFjjGgGUA6NLw09EwE0CqkOc4q9oUmW1yo/edit?usp=sharing"",""กำแพงเพชร!I350"")"),162754)</f>
        <v>162754</v>
      </c>
      <c r="J455" s="370">
        <f ca="1">IFERROR(__xludf.DUMMYFUNCTION("IMPORTRANGE(""https://docs.google.com/spreadsheets/d/11923uPwbBZFjjGgGUA6NLw09EwE0CqkOc4q9oUmW1yo/edit?usp=sharing"",""กำแพงเพชร!J350"")"),162754)</f>
        <v>162754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IFERROR(__xludf.DUMMYFUNCTION("IMPORTRANGE(""https://docs.google.com/spreadsheets/d/11923uPwbBZFjjGgGUA6NLw09EwE0CqkOc4q9oUmW1yo/edit?usp=sharing"",""กำแพงเพชร!L350"")"),1145966)</f>
        <v>1145966</v>
      </c>
      <c r="M455" s="372"/>
      <c r="N455" s="372">
        <f ca="1">IFERROR(__xludf.DUMMYFUNCTION("IMPORTRANGE(""https://docs.google.com/spreadsheets/d/11923uPwbBZFjjGgGUA6NLw09EwE0CqkOc4q9oUmW1yo/edit?usp=sharing"",""กำแพงเพชร!M350"")"),219308.34)</f>
        <v>219308.34</v>
      </c>
      <c r="O455" s="372">
        <f t="shared" ref="O455:O459" ca="1" si="116">+IF(L455&gt;0,N455*100/L455,0)</f>
        <v>19.137421180035009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IFERROR(__xludf.DUMMYFUNCTION("IMPORTRANGE(""https://docs.google.com/spreadsheets/d/11923uPwbBZFjjGgGUA6NLw09EwE0CqkOc4q9oUmW1yo/edit?usp=sharing"",""กำแพงเพชร!L351"")"),0)</f>
        <v>0</v>
      </c>
      <c r="M456" s="164"/>
      <c r="N456" s="168">
        <f ca="1">IFERROR(__xludf.DUMMYFUNCTION("IMPORTRANGE(""https://docs.google.com/spreadsheets/d/11923uPwbBZFjjGgGUA6NLw09EwE0CqkOc4q9oUmW1yo/edit?usp=sharing"",""กำแพงเพชร!M351"")"),0)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IFERROR(__xludf.DUMMYFUNCTION("IMPORTRANGE(""https://docs.google.com/spreadsheets/d/11923uPwbBZFjjGgGUA6NLw09EwE0CqkOc4q9oUmW1yo/edit?usp=sharing"",""กำแพงเพชร!L352"")"),1145966)</f>
        <v>1145966</v>
      </c>
      <c r="M457" s="165"/>
      <c r="N457" s="168">
        <f ca="1">IFERROR(__xludf.DUMMYFUNCTION("IMPORTRANGE(""https://docs.google.com/spreadsheets/d/11923uPwbBZFjjGgGUA6NLw09EwE0CqkOc4q9oUmW1yo/edit?usp=sharing"",""กำแพงเพชร!M352"")"),219308.34)</f>
        <v>219308.34</v>
      </c>
      <c r="O457" s="168">
        <f t="shared" ca="1" si="116"/>
        <v>19.137421180035009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IFERROR(__xludf.DUMMYFUNCTION("IMPORTRANGE(""https://docs.google.com/spreadsheets/d/11923uPwbBZFjjGgGUA6NLw09EwE0CqkOc4q9oUmW1yo/edit?usp=sharing"",""กำแพงเพชร!L353"")"),0)</f>
        <v>0</v>
      </c>
      <c r="M458" s="168"/>
      <c r="N458" s="168">
        <f ca="1">IFERROR(__xludf.DUMMYFUNCTION("IMPORTRANGE(""https://docs.google.com/spreadsheets/d/11923uPwbBZFjjGgGUA6NLw09EwE0CqkOc4q9oUmW1yo/edit?usp=sharing"",""กำแพงเพชร!M353"")"),0)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IFERROR(__xludf.DUMMYFUNCTION("IMPORTRANGE(""https://docs.google.com/spreadsheets/d/11923uPwbBZFjjGgGUA6NLw09EwE0CqkOc4q9oUmW1yo/edit?usp=sharing"",""กำแพงเพชร!L354"")"),1145966)</f>
        <v>1145966</v>
      </c>
      <c r="M459" s="168"/>
      <c r="N459" s="168">
        <f ca="1">IFERROR(__xludf.DUMMYFUNCTION("IMPORTRANGE(""https://docs.google.com/spreadsheets/d/11923uPwbBZFjjGgGUA6NLw09EwE0CqkOc4q9oUmW1yo/edit?usp=sharing"",""กำแพงเพชร!M354"")"),219308.34)</f>
        <v>219308.34</v>
      </c>
      <c r="O459" s="168">
        <f t="shared" ca="1" si="116"/>
        <v>19.137421180035009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IFERROR(__xludf.DUMMYFUNCTION("IMPORTRANGE(""https://docs.google.com/spreadsheets/d/11923uPwbBZFjjGgGUA6NLw09EwE0CqkOc4q9oUmW1yo/edit?usp=sharing"",""กำแพงเพชร!M355"")"),0)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IFERROR(__xludf.DUMMYFUNCTION("IMPORTRANGE(""https://docs.google.com/spreadsheets/d/11923uPwbBZFjjGgGUA6NLw09EwE0CqkOc4q9oUmW1yo/edit?usp=sharing"",""กำแพงเพชร!M356"")"),0)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IFERROR(__xludf.DUMMYFUNCTION("IMPORTRANGE(""https://docs.google.com/spreadsheets/d/11923uPwbBZFjjGgGUA6NLw09EwE0CqkOc4q9oUmW1yo/edit?usp=sharing"",""กำแพงเพชร!M357"")"),71863.34)</f>
        <v>71863.34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IFERROR(__xludf.DUMMYFUNCTION("IMPORTRANGE(""https://docs.google.com/spreadsheets/d/11923uPwbBZFjjGgGUA6NLw09EwE0CqkOc4q9oUmW1yo/edit?usp=sharing"",""กำแพงเพชร!M358"")"),147445)</f>
        <v>147445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IFERROR(__xludf.DUMMYFUNCTION("IMPORTRANGE(""https://docs.google.com/spreadsheets/d/11923uPwbBZFjjGgGUA6NLw09EwE0CqkOc4q9oUmW1yo/edit?usp=sharing"",""กำแพงเพชร!I359"")"),162754)</f>
        <v>162754</v>
      </c>
      <c r="J464" s="267">
        <f ca="1">IFERROR(__xludf.DUMMYFUNCTION("IMPORTRANGE(""https://docs.google.com/spreadsheets/d/11923uPwbBZFjjGgGUA6NLw09EwE0CqkOc4q9oUmW1yo/edit?usp=sharing"",""กำแพงเพชร!J359"")"),162754)</f>
        <v>162754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IFERROR(__xludf.DUMMYFUNCTION("IMPORTRANGE(""https://docs.google.com/spreadsheets/d/11923uPwbBZFjjGgGUA6NLw09EwE0CqkOc4q9oUmW1yo/edit?usp=sharing"",""กำแพงเพชร!I360"")"),162754)</f>
        <v>162754</v>
      </c>
      <c r="J465" s="420">
        <f ca="1">IFERROR(__xludf.DUMMYFUNCTION("IMPORTRANGE(""https://docs.google.com/spreadsheets/d/11923uPwbBZFjjGgGUA6NLw09EwE0CqkOc4q9oUmW1yo/edit?usp=sharing"",""กำแพงเพชร!J360"")"),162754)</f>
        <v>162754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IFERROR(__xludf.DUMMYFUNCTION("IMPORTRANGE(""https://docs.google.com/spreadsheets/d/11923uPwbBZFjjGgGUA6NLw09EwE0CqkOc4q9oUmW1yo/edit?usp=sharing"",""กำแพงเพชร!I361"")"),12870)</f>
        <v>12870</v>
      </c>
      <c r="J466" s="420">
        <f ca="1">IFERROR(__xludf.DUMMYFUNCTION("IMPORTRANGE(""https://docs.google.com/spreadsheets/d/11923uPwbBZFjjGgGUA6NLw09EwE0CqkOc4q9oUmW1yo/edit?usp=sharing"",""กำแพงเพชร!J361"")"),12870)</f>
        <v>12870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IFERROR(__xludf.DUMMYFUNCTION("IMPORTRANGE(""https://docs.google.com/spreadsheets/d/11923uPwbBZFjjGgGUA6NLw09EwE0CqkOc4q9oUmW1yo/edit?usp=sharing"",""กำแพงเพชร!I362"")"),0)</f>
        <v>0</v>
      </c>
      <c r="J467" s="188">
        <f ca="1">IFERROR(__xludf.DUMMYFUNCTION("IMPORTRANGE(""https://docs.google.com/spreadsheets/d/11923uPwbBZFjjGgGUA6NLw09EwE0CqkOc4q9oUmW1yo/edit?usp=sharing"",""กำแพงเพชร!J362"")"),120898)</f>
        <v>120898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IFERROR(__xludf.DUMMYFUNCTION("IMPORTRANGE(""https://docs.google.com/spreadsheets/d/11923uPwbBZFjjGgGUA6NLw09EwE0CqkOc4q9oUmW1yo/edit?usp=sharing"",""กำแพงเพชร!I363"")"),0)</f>
        <v>0</v>
      </c>
      <c r="J468" s="188">
        <f ca="1">IFERROR(__xludf.DUMMYFUNCTION("IMPORTRANGE(""https://docs.google.com/spreadsheets/d/11923uPwbBZFjjGgGUA6NLw09EwE0CqkOc4q9oUmW1yo/edit?usp=sharing"",""กำแพงเพชร!J363"")"),10340)</f>
        <v>10340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IFERROR(__xludf.DUMMYFUNCTION("IMPORTRANGE(""https://docs.google.com/spreadsheets/d/11923uPwbBZFjjGgGUA6NLw09EwE0CqkOc4q9oUmW1yo/edit?usp=sharing"",""กำแพงเพชร!I364"")"),0)</f>
        <v>0</v>
      </c>
      <c r="J469" s="188">
        <f ca="1">IFERROR(__xludf.DUMMYFUNCTION("IMPORTRANGE(""https://docs.google.com/spreadsheets/d/11923uPwbBZFjjGgGUA6NLw09EwE0CqkOc4q9oUmW1yo/edit?usp=sharing"",""กำแพงเพชร!J364"")"),39441)</f>
        <v>39441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IFERROR(__xludf.DUMMYFUNCTION("IMPORTRANGE(""https://docs.google.com/spreadsheets/d/11923uPwbBZFjjGgGUA6NLw09EwE0CqkOc4q9oUmW1yo/edit?usp=sharing"",""กำแพงเพชร!I365"")"),0)</f>
        <v>0</v>
      </c>
      <c r="J470" s="188">
        <f ca="1">IFERROR(__xludf.DUMMYFUNCTION("IMPORTRANGE(""https://docs.google.com/spreadsheets/d/11923uPwbBZFjjGgGUA6NLw09EwE0CqkOc4q9oUmW1yo/edit?usp=sharing"",""กำแพงเพชร!J365"")"),2301)</f>
        <v>2301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IFERROR(__xludf.DUMMYFUNCTION("IMPORTRANGE(""https://docs.google.com/spreadsheets/d/11923uPwbBZFjjGgGUA6NLw09EwE0CqkOc4q9oUmW1yo/edit?usp=sharing"",""กำแพงเพชร!I366"")"),0)</f>
        <v>0</v>
      </c>
      <c r="J471" s="188">
        <f ca="1">IFERROR(__xludf.DUMMYFUNCTION("IMPORTRANGE(""https://docs.google.com/spreadsheets/d/11923uPwbBZFjjGgGUA6NLw09EwE0CqkOc4q9oUmW1yo/edit?usp=sharing"",""กำแพงเพชร!J366"")"),2415)</f>
        <v>2415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IFERROR(__xludf.DUMMYFUNCTION("IMPORTRANGE(""https://docs.google.com/spreadsheets/d/11923uPwbBZFjjGgGUA6NLw09EwE0CqkOc4q9oUmW1yo/edit?usp=sharing"",""กำแพงเพชร!I367"")"),0)</f>
        <v>0</v>
      </c>
      <c r="J472" s="188">
        <f ca="1">IFERROR(__xludf.DUMMYFUNCTION("IMPORTRANGE(""https://docs.google.com/spreadsheets/d/11923uPwbBZFjjGgGUA6NLw09EwE0CqkOc4q9oUmW1yo/edit?usp=sharing"",""กำแพงเพชร!J367"")"),229)</f>
        <v>229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IFERROR(__xludf.DUMMYFUNCTION("IMPORTRANGE(""https://docs.google.com/spreadsheets/d/11923uPwbBZFjjGgGUA6NLw09EwE0CqkOc4q9oUmW1yo/edit?usp=sharing"",""กำแพงเพชร!I368"")"),162754)</f>
        <v>162754</v>
      </c>
      <c r="J473" s="420">
        <f ca="1">IFERROR(__xludf.DUMMYFUNCTION("IMPORTRANGE(""https://docs.google.com/spreadsheets/d/11923uPwbBZFjjGgGUA6NLw09EwE0CqkOc4q9oUmW1yo/edit?usp=sharing"",""กำแพงเพชร!J368"")"),162754)</f>
        <v>162754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IFERROR(__xludf.DUMMYFUNCTION("IMPORTRANGE(""https://docs.google.com/spreadsheets/d/11923uPwbBZFjjGgGUA6NLw09EwE0CqkOc4q9oUmW1yo/edit?usp=sharing"",""กำแพงเพชร!I369"")"),12870)</f>
        <v>12870</v>
      </c>
      <c r="J474" s="420">
        <f ca="1">IFERROR(__xludf.DUMMYFUNCTION("IMPORTRANGE(""https://docs.google.com/spreadsheets/d/11923uPwbBZFjjGgGUA6NLw09EwE0CqkOc4q9oUmW1yo/edit?usp=sharing"",""กำแพงเพชร!J369"")"),12870)</f>
        <v>12870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IFERROR(__xludf.DUMMYFUNCTION("IMPORTRANGE(""https://docs.google.com/spreadsheets/d/11923uPwbBZFjjGgGUA6NLw09EwE0CqkOc4q9oUmW1yo/edit?usp=sharing"",""กำแพงเพชร!I370"")"),0)</f>
        <v>0</v>
      </c>
      <c r="J475" s="188">
        <f ca="1">IFERROR(__xludf.DUMMYFUNCTION("IMPORTRANGE(""https://docs.google.com/spreadsheets/d/11923uPwbBZFjjGgGUA6NLw09EwE0CqkOc4q9oUmW1yo/edit?usp=sharing"",""กำแพงเพชร!J370"")"),142162)</f>
        <v>142162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IFERROR(__xludf.DUMMYFUNCTION("IMPORTRANGE(""https://docs.google.com/spreadsheets/d/11923uPwbBZFjjGgGUA6NLw09EwE0CqkOc4q9oUmW1yo/edit?usp=sharing"",""กำแพงเพชร!I371"")"),0)</f>
        <v>0</v>
      </c>
      <c r="J476" s="188">
        <f ca="1">IFERROR(__xludf.DUMMYFUNCTION("IMPORTRANGE(""https://docs.google.com/spreadsheets/d/11923uPwbBZFjjGgGUA6NLw09EwE0CqkOc4q9oUmW1yo/edit?usp=sharing"",""กำแพงเพชร!J371"")"),11553)</f>
        <v>11553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IFERROR(__xludf.DUMMYFUNCTION("IMPORTRANGE(""https://docs.google.com/spreadsheets/d/11923uPwbBZFjjGgGUA6NLw09EwE0CqkOc4q9oUmW1yo/edit?usp=sharing"",""กำแพงเพชร!I372"")"),0)</f>
        <v>0</v>
      </c>
      <c r="J477" s="188">
        <f ca="1">IFERROR(__xludf.DUMMYFUNCTION("IMPORTRANGE(""https://docs.google.com/spreadsheets/d/11923uPwbBZFjjGgGUA6NLw09EwE0CqkOc4q9oUmW1yo/edit?usp=sharing"",""กำแพงเพชร!J372"")"),17316)</f>
        <v>17316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IFERROR(__xludf.DUMMYFUNCTION("IMPORTRANGE(""https://docs.google.com/spreadsheets/d/11923uPwbBZFjjGgGUA6NLw09EwE0CqkOc4q9oUmW1yo/edit?usp=sharing"",""กำแพงเพชร!I373"")"),0)</f>
        <v>0</v>
      </c>
      <c r="J478" s="188">
        <f ca="1">IFERROR(__xludf.DUMMYFUNCTION("IMPORTRANGE(""https://docs.google.com/spreadsheets/d/11923uPwbBZFjjGgGUA6NLw09EwE0CqkOc4q9oUmW1yo/edit?usp=sharing"",""กำแพงเพชร!J373"")"),1045)</f>
        <v>1045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IFERROR(__xludf.DUMMYFUNCTION("IMPORTRANGE(""https://docs.google.com/spreadsheets/d/11923uPwbBZFjjGgGUA6NLw09EwE0CqkOc4q9oUmW1yo/edit?usp=sharing"",""กำแพงเพชร!I374"")"),0)</f>
        <v>0</v>
      </c>
      <c r="J479" s="188">
        <f ca="1">IFERROR(__xludf.DUMMYFUNCTION("IMPORTRANGE(""https://docs.google.com/spreadsheets/d/11923uPwbBZFjjGgGUA6NLw09EwE0CqkOc4q9oUmW1yo/edit?usp=sharing"",""กำแพงเพชร!J374"")"),3276)</f>
        <v>3276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IFERROR(__xludf.DUMMYFUNCTION("IMPORTRANGE(""https://docs.google.com/spreadsheets/d/11923uPwbBZFjjGgGUA6NLw09EwE0CqkOc4q9oUmW1yo/edit?usp=sharing"",""กำแพงเพชร!I375"")"),0)</f>
        <v>0</v>
      </c>
      <c r="J480" s="188">
        <f ca="1">IFERROR(__xludf.DUMMYFUNCTION("IMPORTRANGE(""https://docs.google.com/spreadsheets/d/11923uPwbBZFjjGgGUA6NLw09EwE0CqkOc4q9oUmW1yo/edit?usp=sharing"",""กำแพงเพชร!J375"")"),272)</f>
        <v>272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IFERROR(__xludf.DUMMYFUNCTION("IMPORTRANGE(""https://docs.google.com/spreadsheets/d/11923uPwbBZFjjGgGUA6NLw09EwE0CqkOc4q9oUmW1yo/edit?usp=sharing"",""กำแพงเพชร!I376"")"),162754)</f>
        <v>162754</v>
      </c>
      <c r="J481" s="420">
        <f ca="1">IFERROR(__xludf.DUMMYFUNCTION("IMPORTRANGE(""https://docs.google.com/spreadsheets/d/11923uPwbBZFjjGgGUA6NLw09EwE0CqkOc4q9oUmW1yo/edit?usp=sharing"",""กำแพงเพชร!J376"")"),162754)</f>
        <v>162754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IFERROR(__xludf.DUMMYFUNCTION("IMPORTRANGE(""https://docs.google.com/spreadsheets/d/11923uPwbBZFjjGgGUA6NLw09EwE0CqkOc4q9oUmW1yo/edit?usp=sharing"",""กำแพงเพชร!I377"")"),12870)</f>
        <v>12870</v>
      </c>
      <c r="J482" s="420">
        <f ca="1">IFERROR(__xludf.DUMMYFUNCTION("IMPORTRANGE(""https://docs.google.com/spreadsheets/d/11923uPwbBZFjjGgGUA6NLw09EwE0CqkOc4q9oUmW1yo/edit?usp=sharing"",""กำแพงเพชร!J377"")"),12870)</f>
        <v>12870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IFERROR(__xludf.DUMMYFUNCTION("IMPORTRANGE(""https://docs.google.com/spreadsheets/d/11923uPwbBZFjjGgGUA6NLw09EwE0CqkOc4q9oUmW1yo/edit?usp=sharing"",""กำแพงเพชร!I378"")"),0)</f>
        <v>0</v>
      </c>
      <c r="J483" s="188">
        <f ca="1">IFERROR(__xludf.DUMMYFUNCTION("IMPORTRANGE(""https://docs.google.com/spreadsheets/d/11923uPwbBZFjjGgGUA6NLw09EwE0CqkOc4q9oUmW1yo/edit?usp=sharing"",""กำแพงเพชร!J378"")"),153013)</f>
        <v>153013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IFERROR(__xludf.DUMMYFUNCTION("IMPORTRANGE(""https://docs.google.com/spreadsheets/d/11923uPwbBZFjjGgGUA6NLw09EwE0CqkOc4q9oUmW1yo/edit?usp=sharing"",""กำแพงเพชร!I379"")"),0)</f>
        <v>0</v>
      </c>
      <c r="J484" s="188">
        <f ca="1">IFERROR(__xludf.DUMMYFUNCTION("IMPORTRANGE(""https://docs.google.com/spreadsheets/d/11923uPwbBZFjjGgGUA6NLw09EwE0CqkOc4q9oUmW1yo/edit?usp=sharing"",""กำแพงเพชร!J379"")"),12219)</f>
        <v>12219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IFERROR(__xludf.DUMMYFUNCTION("IMPORTRANGE(""https://docs.google.com/spreadsheets/d/11923uPwbBZFjjGgGUA6NLw09EwE0CqkOc4q9oUmW1yo/edit?usp=sharing"",""กำแพงเพชร!I380"")"),0)</f>
        <v>0</v>
      </c>
      <c r="J485" s="188">
        <f ca="1">IFERROR(__xludf.DUMMYFUNCTION("IMPORTRANGE(""https://docs.google.com/spreadsheets/d/11923uPwbBZFjjGgGUA6NLw09EwE0CqkOc4q9oUmW1yo/edit?usp=sharing"",""กำแพงเพชร!J380"")"),29)</f>
        <v>29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IFERROR(__xludf.DUMMYFUNCTION("IMPORTRANGE(""https://docs.google.com/spreadsheets/d/11923uPwbBZFjjGgGUA6NLw09EwE0CqkOc4q9oUmW1yo/edit?usp=sharing"",""กำแพงเพชร!I381"")"),0)</f>
        <v>0</v>
      </c>
      <c r="J486" s="188">
        <f ca="1">IFERROR(__xludf.DUMMYFUNCTION("IMPORTRANGE(""https://docs.google.com/spreadsheets/d/11923uPwbBZFjjGgGUA6NLw09EwE0CqkOc4q9oUmW1yo/edit?usp=sharing"",""กำแพงเพชร!J381"")"),1)</f>
        <v>1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IFERROR(__xludf.DUMMYFUNCTION("IMPORTRANGE(""https://docs.google.com/spreadsheets/d/11923uPwbBZFjjGgGUA6NLw09EwE0CqkOc4q9oUmW1yo/edit?usp=sharing"",""กำแพงเพชร!I382"")"),0)</f>
        <v>0</v>
      </c>
      <c r="J487" s="420">
        <f ca="1">IFERROR(__xludf.DUMMYFUNCTION("IMPORTRANGE(""https://docs.google.com/spreadsheets/d/11923uPwbBZFjjGgGUA6NLw09EwE0CqkOc4q9oUmW1yo/edit?usp=sharing"",""กำแพงเพชร!J382"")"),3154)</f>
        <v>3154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IFERROR(__xludf.DUMMYFUNCTION("IMPORTRANGE(""https://docs.google.com/spreadsheets/d/11923uPwbBZFjjGgGUA6NLw09EwE0CqkOc4q9oUmW1yo/edit?usp=sharing"",""กำแพงเพชร!I383"")"),0)</f>
        <v>0</v>
      </c>
      <c r="J488" s="420">
        <f ca="1">IFERROR(__xludf.DUMMYFUNCTION("IMPORTRANGE(""https://docs.google.com/spreadsheets/d/11923uPwbBZFjjGgGUA6NLw09EwE0CqkOc4q9oUmW1yo/edit?usp=sharing"",""กำแพงเพชร!J383"")"),264)</f>
        <v>264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IFERROR(__xludf.DUMMYFUNCTION("IMPORTRANGE(""https://docs.google.com/spreadsheets/d/11923uPwbBZFjjGgGUA6NLw09EwE0CqkOc4q9oUmW1yo/edit?usp=sharing"",""กำแพงเพชร!I384"")"),0)</f>
        <v>0</v>
      </c>
      <c r="J489" s="188">
        <f ca="1">IFERROR(__xludf.DUMMYFUNCTION("IMPORTRANGE(""https://docs.google.com/spreadsheets/d/11923uPwbBZFjjGgGUA6NLw09EwE0CqkOc4q9oUmW1yo/edit?usp=sharing"",""กำแพงเพชร!J384"")"),3096)</f>
        <v>3096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IFERROR(__xludf.DUMMYFUNCTION("IMPORTRANGE(""https://docs.google.com/spreadsheets/d/11923uPwbBZFjjGgGUA6NLw09EwE0CqkOc4q9oUmW1yo/edit?usp=sharing"",""กำแพงเพชร!I385"")"),0)</f>
        <v>0</v>
      </c>
      <c r="J490" s="188">
        <f ca="1">IFERROR(__xludf.DUMMYFUNCTION("IMPORTRANGE(""https://docs.google.com/spreadsheets/d/11923uPwbBZFjjGgGUA6NLw09EwE0CqkOc4q9oUmW1yo/edit?usp=sharing"",""กำแพงเพชร!J385"")"),261)</f>
        <v>261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IFERROR(__xludf.DUMMYFUNCTION("IMPORTRANGE(""https://docs.google.com/spreadsheets/d/11923uPwbBZFjjGgGUA6NLw09EwE0CqkOc4q9oUmW1yo/edit?usp=sharing"",""กำแพงเพชร!I386"")"),0)</f>
        <v>0</v>
      </c>
      <c r="J491" s="188">
        <f ca="1">IFERROR(__xludf.DUMMYFUNCTION("IMPORTRANGE(""https://docs.google.com/spreadsheets/d/11923uPwbBZFjjGgGUA6NLw09EwE0CqkOc4q9oUmW1yo/edit?usp=sharing"",""กำแพงเพชร!J386"")"),58)</f>
        <v>58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IFERROR(__xludf.DUMMYFUNCTION("IMPORTRANGE(""https://docs.google.com/spreadsheets/d/11923uPwbBZFjjGgGUA6NLw09EwE0CqkOc4q9oUmW1yo/edit?usp=sharing"",""กำแพงเพชร!I387"")"),0)</f>
        <v>0</v>
      </c>
      <c r="J492" s="188">
        <f ca="1">IFERROR(__xludf.DUMMYFUNCTION("IMPORTRANGE(""https://docs.google.com/spreadsheets/d/11923uPwbBZFjjGgGUA6NLw09EwE0CqkOc4q9oUmW1yo/edit?usp=sharing"",""กำแพงเพชร!J387"")"),3)</f>
        <v>3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IFERROR(__xludf.DUMMYFUNCTION("IMPORTRANGE(""https://docs.google.com/spreadsheets/d/11923uPwbBZFjjGgGUA6NLw09EwE0CqkOc4q9oUmW1yo/edit?usp=sharing"",""กำแพงเพชร!I388"")"),0)</f>
        <v>0</v>
      </c>
      <c r="J493" s="188">
        <f ca="1">IFERROR(__xludf.DUMMYFUNCTION("IMPORTRANGE(""https://docs.google.com/spreadsheets/d/11923uPwbBZFjjGgGUA6NLw09EwE0CqkOc4q9oUmW1yo/edit?usp=sharing"",""กำแพงเพชร!J388"")"),6558)</f>
        <v>6558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IFERROR(__xludf.DUMMYFUNCTION("IMPORTRANGE(""https://docs.google.com/spreadsheets/d/11923uPwbBZFjjGgGUA6NLw09EwE0CqkOc4q9oUmW1yo/edit?usp=sharing"",""กำแพงเพชร!I389"")"),0)</f>
        <v>0</v>
      </c>
      <c r="J494" s="436">
        <f ca="1">IFERROR(__xludf.DUMMYFUNCTION("IMPORTRANGE(""https://docs.google.com/spreadsheets/d/11923uPwbBZFjjGgGUA6NLw09EwE0CqkOc4q9oUmW1yo/edit?usp=sharing"",""กำแพงเพชร!J389"")"),386)</f>
        <v>386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IFERROR(__xludf.DUMMYFUNCTION("IMPORTRANGE(""https://docs.google.com/spreadsheets/d/11923uPwbBZFjjGgGUA6NLw09EwE0CqkOc4q9oUmW1yo/edit?usp=sharing"",""กำแพงเพชร!I390"")"),0)</f>
        <v>0</v>
      </c>
      <c r="J495" s="436">
        <f ca="1">IFERROR(__xludf.DUMMYFUNCTION("IMPORTRANGE(""https://docs.google.com/spreadsheets/d/11923uPwbBZFjjGgGUA6NLw09EwE0CqkOc4q9oUmW1yo/edit?usp=sharing"",""กำแพงเพชร!J390"")"),0)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IFERROR(__xludf.DUMMYFUNCTION("IMPORTRANGE(""https://docs.google.com/spreadsheets/d/11923uPwbBZFjjGgGUA6NLw09EwE0CqkOc4q9oUmW1yo/edit?usp=sharing"",""กำแพงเพชร!I391"")"),0)</f>
        <v>0</v>
      </c>
      <c r="J496" s="436">
        <f ca="1">IFERROR(__xludf.DUMMYFUNCTION("IMPORTRANGE(""https://docs.google.com/spreadsheets/d/11923uPwbBZFjjGgGUA6NLw09EwE0CqkOc4q9oUmW1yo/edit?usp=sharing"",""กำแพงเพชร!J391"")"),0)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IFERROR(__xludf.DUMMYFUNCTION("IMPORTRANGE(""https://docs.google.com/spreadsheets/d/11923uPwbBZFjjGgGUA6NLw09EwE0CqkOc4q9oUmW1yo/edit?usp=sharing"",""กำแพงเพชร!I392"")"),6340)</f>
        <v>6340</v>
      </c>
      <c r="J497" s="443">
        <f ca="1">IFERROR(__xludf.DUMMYFUNCTION("IMPORTRANGE(""https://docs.google.com/spreadsheets/d/11923uPwbBZFjjGgGUA6NLw09EwE0CqkOc4q9oUmW1yo/edit?usp=sharing"",""กำแพงเพชร!J392"")"),0)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IFERROR(__xludf.DUMMYFUNCTION("IMPORTRANGE(""https://docs.google.com/spreadsheets/d/11923uPwbBZFjjGgGUA6NLw09EwE0CqkOc4q9oUmW1yo/edit?usp=sharing"",""กำแพงเพชร!I393"")"),6340)</f>
        <v>6340</v>
      </c>
      <c r="J498" s="420">
        <f ca="1">IFERROR(__xludf.DUMMYFUNCTION("IMPORTRANGE(""https://docs.google.com/spreadsheets/d/11923uPwbBZFjjGgGUA6NLw09EwE0CqkOc4q9oUmW1yo/edit?usp=sharing"",""กำแพงเพชร!J393"")"),0)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IFERROR(__xludf.DUMMYFUNCTION("IMPORTRANGE(""https://docs.google.com/spreadsheets/d/11923uPwbBZFjjGgGUA6NLw09EwE0CqkOc4q9oUmW1yo/edit?usp=sharing"",""กำแพงเพชร!I394"")"),600)</f>
        <v>600</v>
      </c>
      <c r="J499" s="420">
        <f ca="1">IFERROR(__xludf.DUMMYFUNCTION("IMPORTRANGE(""https://docs.google.com/spreadsheets/d/11923uPwbBZFjjGgGUA6NLw09EwE0CqkOc4q9oUmW1yo/edit?usp=sharing"",""กำแพงเพชร!J394"")"),0)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IFERROR(__xludf.DUMMYFUNCTION("IMPORTRANGE(""https://docs.google.com/spreadsheets/d/11923uPwbBZFjjGgGUA6NLw09EwE0CqkOc4q9oUmW1yo/edit?usp=sharing"",""กำแพงเพชร!I395"")"),0)</f>
        <v>0</v>
      </c>
      <c r="J500" s="162">
        <f ca="1">IFERROR(__xludf.DUMMYFUNCTION("IMPORTRANGE(""https://docs.google.com/spreadsheets/d/11923uPwbBZFjjGgGUA6NLw09EwE0CqkOc4q9oUmW1yo/edit?usp=sharing"",""กำแพงเพชร!J395"")"),0)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IFERROR(__xludf.DUMMYFUNCTION("IMPORTRANGE(""https://docs.google.com/spreadsheets/d/11923uPwbBZFjjGgGUA6NLw09EwE0CqkOc4q9oUmW1yo/edit?usp=sharing"",""กำแพงเพชร!I396"")"),0)</f>
        <v>0</v>
      </c>
      <c r="J501" s="162">
        <f ca="1">IFERROR(__xludf.DUMMYFUNCTION("IMPORTRANGE(""https://docs.google.com/spreadsheets/d/11923uPwbBZFjjGgGUA6NLw09EwE0CqkOc4q9oUmW1yo/edit?usp=sharing"",""กำแพงเพชร!J396"")"),0)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IFERROR(__xludf.DUMMYFUNCTION("IMPORTRANGE(""https://docs.google.com/spreadsheets/d/11923uPwbBZFjjGgGUA6NLw09EwE0CqkOc4q9oUmW1yo/edit?usp=sharing"",""กำแพงเพชร!I397"")"),0)</f>
        <v>0</v>
      </c>
      <c r="J502" s="188">
        <f ca="1">IFERROR(__xludf.DUMMYFUNCTION("IMPORTRANGE(""https://docs.google.com/spreadsheets/d/11923uPwbBZFjjGgGUA6NLw09EwE0CqkOc4q9oUmW1yo/edit?usp=sharing"",""กำแพงเพชร!J397"")"),0)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IFERROR(__xludf.DUMMYFUNCTION("IMPORTRANGE(""https://docs.google.com/spreadsheets/d/11923uPwbBZFjjGgGUA6NLw09EwE0CqkOc4q9oUmW1yo/edit?usp=sharing"",""กำแพงเพชร!I398"")"),0)</f>
        <v>0</v>
      </c>
      <c r="J503" s="197">
        <f ca="1">IFERROR(__xludf.DUMMYFUNCTION("IMPORTRANGE(""https://docs.google.com/spreadsheets/d/11923uPwbBZFjjGgGUA6NLw09EwE0CqkOc4q9oUmW1yo/edit?usp=sharing"",""กำแพงเพชร!J398"")"),0)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IFERROR(__xludf.DUMMYFUNCTION("IMPORTRANGE(""https://docs.google.com/spreadsheets/d/11923uPwbBZFjjGgGUA6NLw09EwE0CqkOc4q9oUmW1yo/edit?usp=sharing"",""กำแพงเพชร!I399"")"),0)</f>
        <v>0</v>
      </c>
      <c r="J504" s="188">
        <f ca="1">IFERROR(__xludf.DUMMYFUNCTION("IMPORTRANGE(""https://docs.google.com/spreadsheets/d/11923uPwbBZFjjGgGUA6NLw09EwE0CqkOc4q9oUmW1yo/edit?usp=sharing"",""กำแพงเพชร!J399"")"),0)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IFERROR(__xludf.DUMMYFUNCTION("IMPORTRANGE(""https://docs.google.com/spreadsheets/d/11923uPwbBZFjjGgGUA6NLw09EwE0CqkOc4q9oUmW1yo/edit?usp=sharing"",""กำแพงเพชร!I400"")"),0)</f>
        <v>0</v>
      </c>
      <c r="J505" s="197">
        <f ca="1">IFERROR(__xludf.DUMMYFUNCTION("IMPORTRANGE(""https://docs.google.com/spreadsheets/d/11923uPwbBZFjjGgGUA6NLw09EwE0CqkOc4q9oUmW1yo/edit?usp=sharing"",""กำแพงเพชร!J400"")"),0)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IFERROR(__xludf.DUMMYFUNCTION("IMPORTRANGE(""https://docs.google.com/spreadsheets/d/11923uPwbBZFjjGgGUA6NLw09EwE0CqkOc4q9oUmW1yo/edit?usp=sharing"",""กำแพงเพชร!I401"")"),0)</f>
        <v>0</v>
      </c>
      <c r="J506" s="188">
        <f ca="1">IFERROR(__xludf.DUMMYFUNCTION("IMPORTRANGE(""https://docs.google.com/spreadsheets/d/11923uPwbBZFjjGgGUA6NLw09EwE0CqkOc4q9oUmW1yo/edit?usp=sharing"",""กำแพงเพชร!J401"")"),0)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IFERROR(__xludf.DUMMYFUNCTION("IMPORTRANGE(""https://docs.google.com/spreadsheets/d/11923uPwbBZFjjGgGUA6NLw09EwE0CqkOc4q9oUmW1yo/edit?usp=sharing"",""กำแพงเพชร!I402"")"),0)</f>
        <v>0</v>
      </c>
      <c r="J507" s="197">
        <f ca="1">IFERROR(__xludf.DUMMYFUNCTION("IMPORTRANGE(""https://docs.google.com/spreadsheets/d/11923uPwbBZFjjGgGUA6NLw09EwE0CqkOc4q9oUmW1yo/edit?usp=sharing"",""กำแพงเพชร!J402"")"),0)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IFERROR(__xludf.DUMMYFUNCTION("IMPORTRANGE(""https://docs.google.com/spreadsheets/d/11923uPwbBZFjjGgGUA6NLw09EwE0CqkOc4q9oUmW1yo/edit?usp=sharing"",""กำแพงเพชร!I403"")"),0)</f>
        <v>0</v>
      </c>
      <c r="J508" s="162">
        <f ca="1">IFERROR(__xludf.DUMMYFUNCTION("IMPORTRANGE(""https://docs.google.com/spreadsheets/d/11923uPwbBZFjjGgGUA6NLw09EwE0CqkOc4q9oUmW1yo/edit?usp=sharing"",""กำแพงเพชร!J403"")"),0)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IFERROR(__xludf.DUMMYFUNCTION("IMPORTRANGE(""https://docs.google.com/spreadsheets/d/11923uPwbBZFjjGgGUA6NLw09EwE0CqkOc4q9oUmW1yo/edit?usp=sharing"",""กำแพงเพชร!I404"")"),0)</f>
        <v>0</v>
      </c>
      <c r="J509" s="162">
        <f ca="1">IFERROR(__xludf.DUMMYFUNCTION("IMPORTRANGE(""https://docs.google.com/spreadsheets/d/11923uPwbBZFjjGgGUA6NLw09EwE0CqkOc4q9oUmW1yo/edit?usp=sharing"",""กำแพงเพชร!J404"")"),0)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IFERROR(__xludf.DUMMYFUNCTION("IMPORTRANGE(""https://docs.google.com/spreadsheets/d/11923uPwbBZFjjGgGUA6NLw09EwE0CqkOc4q9oUmW1yo/edit?usp=sharing"",""กำแพงเพชร!I405"")"),0)</f>
        <v>0</v>
      </c>
      <c r="J510" s="197">
        <f ca="1">IFERROR(__xludf.DUMMYFUNCTION("IMPORTRANGE(""https://docs.google.com/spreadsheets/d/11923uPwbBZFjjGgGUA6NLw09EwE0CqkOc4q9oUmW1yo/edit?usp=sharing"",""กำแพงเพชร!J405"")"),0)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IFERROR(__xludf.DUMMYFUNCTION("IMPORTRANGE(""https://docs.google.com/spreadsheets/d/11923uPwbBZFjjGgGUA6NLw09EwE0CqkOc4q9oUmW1yo/edit?usp=sharing"",""กำแพงเพชร!I406"")"),0)</f>
        <v>0</v>
      </c>
      <c r="J511" s="197">
        <f ca="1">IFERROR(__xludf.DUMMYFUNCTION("IMPORTRANGE(""https://docs.google.com/spreadsheets/d/11923uPwbBZFjjGgGUA6NLw09EwE0CqkOc4q9oUmW1yo/edit?usp=sharing"",""กำแพงเพชร!J406"")"),0)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IFERROR(__xludf.DUMMYFUNCTION("IMPORTRANGE(""https://docs.google.com/spreadsheets/d/11923uPwbBZFjjGgGUA6NLw09EwE0CqkOc4q9oUmW1yo/edit?usp=sharing"",""กำแพงเพชร!I407"")"),0)</f>
        <v>0</v>
      </c>
      <c r="J512" s="197">
        <f ca="1">IFERROR(__xludf.DUMMYFUNCTION("IMPORTRANGE(""https://docs.google.com/spreadsheets/d/11923uPwbBZFjjGgGUA6NLw09EwE0CqkOc4q9oUmW1yo/edit?usp=sharing"",""กำแพงเพชร!J407"")"),0)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IFERROR(__xludf.DUMMYFUNCTION("IMPORTRANGE(""https://docs.google.com/spreadsheets/d/11923uPwbBZFjjGgGUA6NLw09EwE0CqkOc4q9oUmW1yo/edit?usp=sharing"",""กำแพงเพชร!I408"")"),0)</f>
        <v>0</v>
      </c>
      <c r="J513" s="197">
        <f ca="1">IFERROR(__xludf.DUMMYFUNCTION("IMPORTRANGE(""https://docs.google.com/spreadsheets/d/11923uPwbBZFjjGgGUA6NLw09EwE0CqkOc4q9oUmW1yo/edit?usp=sharing"",""กำแพงเพชร!J408"")"),0)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IFERROR(__xludf.DUMMYFUNCTION("IMPORTRANGE(""https://docs.google.com/spreadsheets/d/11923uPwbBZFjjGgGUA6NLw09EwE0CqkOc4q9oUmW1yo/edit?usp=sharing"",""กำแพงเพชร!I409"")"),0)</f>
        <v>0</v>
      </c>
      <c r="J514" s="197">
        <f ca="1">IFERROR(__xludf.DUMMYFUNCTION("IMPORTRANGE(""https://docs.google.com/spreadsheets/d/11923uPwbBZFjjGgGUA6NLw09EwE0CqkOc4q9oUmW1yo/edit?usp=sharing"",""กำแพงเพชร!J409"")"),0)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IFERROR(__xludf.DUMMYFUNCTION("IMPORTRANGE(""https://docs.google.com/spreadsheets/d/11923uPwbBZFjjGgGUA6NLw09EwE0CqkOc4q9oUmW1yo/edit?usp=sharing"",""กำแพงเพชร!I410"")"),0)</f>
        <v>0</v>
      </c>
      <c r="J515" s="197">
        <f ca="1">IFERROR(__xludf.DUMMYFUNCTION("IMPORTRANGE(""https://docs.google.com/spreadsheets/d/11923uPwbBZFjjGgGUA6NLw09EwE0CqkOc4q9oUmW1yo/edit?usp=sharing"",""กำแพงเพชร!J410"")"),0)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IFERROR(__xludf.DUMMYFUNCTION("IMPORTRANGE(""https://docs.google.com/spreadsheets/d/11923uPwbBZFjjGgGUA6NLw09EwE0CqkOc4q9oUmW1yo/edit?usp=sharing"",""กำแพงเพชร!I411"")"),0)</f>
        <v>0</v>
      </c>
      <c r="J516" s="267">
        <f ca="1">IFERROR(__xludf.DUMMYFUNCTION("IMPORTRANGE(""https://docs.google.com/spreadsheets/d/11923uPwbBZFjjGgGUA6NLw09EwE0CqkOc4q9oUmW1yo/edit?usp=sharing"",""กำแพงเพชร!J411"")"),0)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IFERROR(__xludf.DUMMYFUNCTION("IMPORTRANGE(""https://docs.google.com/spreadsheets/d/11923uPwbBZFjjGgGUA6NLw09EwE0CqkOc4q9oUmW1yo/edit?usp=sharing"",""กำแพงเพชร!I412"")"),0)</f>
        <v>0</v>
      </c>
      <c r="J517" s="284">
        <f ca="1">IFERROR(__xludf.DUMMYFUNCTION("IMPORTRANGE(""https://docs.google.com/spreadsheets/d/11923uPwbBZFjjGgGUA6NLw09EwE0CqkOc4q9oUmW1yo/edit?usp=sharing"",""กำแพงเพชร!J412"")"),0)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IFERROR(__xludf.DUMMYFUNCTION("IMPORTRANGE(""https://docs.google.com/spreadsheets/d/11923uPwbBZFjjGgGUA6NLw09EwE0CqkOc4q9oUmW1yo/edit?usp=sharing"",""กำแพงเพชร!I413"")"),0)</f>
        <v>0</v>
      </c>
      <c r="J518" s="284">
        <f ca="1">IFERROR(__xludf.DUMMYFUNCTION("IMPORTRANGE(""https://docs.google.com/spreadsheets/d/11923uPwbBZFjjGgGUA6NLw09EwE0CqkOc4q9oUmW1yo/edit?usp=sharing"",""กำแพงเพชร!J413"")"),0)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IFERROR(__xludf.DUMMYFUNCTION("IMPORTRANGE(""https://docs.google.com/spreadsheets/d/11923uPwbBZFjjGgGUA6NLw09EwE0CqkOc4q9oUmW1yo/edit?usp=sharing"",""กำแพงเพชร!I414"")"),0)</f>
        <v>0</v>
      </c>
      <c r="J519" s="187">
        <f ca="1">IFERROR(__xludf.DUMMYFUNCTION("IMPORTRANGE(""https://docs.google.com/spreadsheets/d/11923uPwbBZFjjGgGUA6NLw09EwE0CqkOc4q9oUmW1yo/edit?usp=sharing"",""กำแพงเพชร!J414"")"),0)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IFERROR(__xludf.DUMMYFUNCTION("IMPORTRANGE(""https://docs.google.com/spreadsheets/d/11923uPwbBZFjjGgGUA6NLw09EwE0CqkOc4q9oUmW1yo/edit?usp=sharing"",""กำแพงเพชร!I415"")"),0)</f>
        <v>0</v>
      </c>
      <c r="J520" s="187">
        <f ca="1">IFERROR(__xludf.DUMMYFUNCTION("IMPORTRANGE(""https://docs.google.com/spreadsheets/d/11923uPwbBZFjjGgGUA6NLw09EwE0CqkOc4q9oUmW1yo/edit?usp=sharing"",""กำแพงเพชร!J415"")"),0)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IFERROR(__xludf.DUMMYFUNCTION("IMPORTRANGE(""https://docs.google.com/spreadsheets/d/11923uPwbBZFjjGgGUA6NLw09EwE0CqkOc4q9oUmW1yo/edit?usp=sharing"",""กำแพงเพชร!I416"")"),0)</f>
        <v>0</v>
      </c>
      <c r="J521" s="187">
        <f ca="1">IFERROR(__xludf.DUMMYFUNCTION("IMPORTRANGE(""https://docs.google.com/spreadsheets/d/11923uPwbBZFjjGgGUA6NLw09EwE0CqkOc4q9oUmW1yo/edit?usp=sharing"",""กำแพงเพชร!J416"")"),0)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IFERROR(__xludf.DUMMYFUNCTION("IMPORTRANGE(""https://docs.google.com/spreadsheets/d/11923uPwbBZFjjGgGUA6NLw09EwE0CqkOc4q9oUmW1yo/edit?usp=sharing"",""กำแพงเพชร!I417"")"),0)</f>
        <v>0</v>
      </c>
      <c r="J522" s="187">
        <f ca="1">IFERROR(__xludf.DUMMYFUNCTION("IMPORTRANGE(""https://docs.google.com/spreadsheets/d/11923uPwbBZFjjGgGUA6NLw09EwE0CqkOc4q9oUmW1yo/edit?usp=sharing"",""กำแพงเพชร!J417"")"),0)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IFERROR(__xludf.DUMMYFUNCTION("IMPORTRANGE(""https://docs.google.com/spreadsheets/d/11923uPwbBZFjjGgGUA6NLw09EwE0CqkOc4q9oUmW1yo/edit?usp=sharing"",""กำแพงเพชร!I418"")"),0)</f>
        <v>0</v>
      </c>
      <c r="J523" s="187">
        <f ca="1">IFERROR(__xludf.DUMMYFUNCTION("IMPORTRANGE(""https://docs.google.com/spreadsheets/d/11923uPwbBZFjjGgGUA6NLw09EwE0CqkOc4q9oUmW1yo/edit?usp=sharing"",""กำแพงเพชร!J418"")"),2168)</f>
        <v>2168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IFERROR(__xludf.DUMMYFUNCTION("IMPORTRANGE(""https://docs.google.com/spreadsheets/d/11923uPwbBZFjjGgGUA6NLw09EwE0CqkOc4q9oUmW1yo/edit?usp=sharing"",""กำแพงเพชร!I419"")"),0)</f>
        <v>0</v>
      </c>
      <c r="J524" s="187">
        <f ca="1">IFERROR(__xludf.DUMMYFUNCTION("IMPORTRANGE(""https://docs.google.com/spreadsheets/d/11923uPwbBZFjjGgGUA6NLw09EwE0CqkOc4q9oUmW1yo/edit?usp=sharing"",""กำแพงเพชร!J419"")"),106)</f>
        <v>106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IFERROR(__xludf.DUMMYFUNCTION("IMPORTRANGE(""https://docs.google.com/spreadsheets/d/11923uPwbBZFjjGgGUA6NLw09EwE0CqkOc4q9oUmW1yo/edit?usp=sharing"",""กำแพงเพชร!I420"")"),2168)</f>
        <v>2168</v>
      </c>
      <c r="J525" s="284">
        <f ca="1">IFERROR(__xludf.DUMMYFUNCTION("IMPORTRANGE(""https://docs.google.com/spreadsheets/d/11923uPwbBZFjjGgGUA6NLw09EwE0CqkOc4q9oUmW1yo/edit?usp=sharing"",""กำแพงเพชร!J420"")"),0)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IFERROR(__xludf.DUMMYFUNCTION("IMPORTRANGE(""https://docs.google.com/spreadsheets/d/11923uPwbBZFjjGgGUA6NLw09EwE0CqkOc4q9oUmW1yo/edit?usp=sharing"",""กำแพงเพชร!I421"")"),106)</f>
        <v>106</v>
      </c>
      <c r="J526" s="284">
        <f ca="1">IFERROR(__xludf.DUMMYFUNCTION("IMPORTRANGE(""https://docs.google.com/spreadsheets/d/11923uPwbBZFjjGgGUA6NLw09EwE0CqkOc4q9oUmW1yo/edit?usp=sharing"",""กำแพงเพชร!J421"")"),0)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IFERROR(__xludf.DUMMYFUNCTION("IMPORTRANGE(""https://docs.google.com/spreadsheets/d/11923uPwbBZFjjGgGUA6NLw09EwE0CqkOc4q9oUmW1yo/edit?usp=sharing"",""กำแพงเพชร!I422"")"),0)</f>
        <v>0</v>
      </c>
      <c r="J527" s="197">
        <f ca="1">IFERROR(__xludf.DUMMYFUNCTION("IMPORTRANGE(""https://docs.google.com/spreadsheets/d/11923uPwbBZFjjGgGUA6NLw09EwE0CqkOc4q9oUmW1yo/edit?usp=sharing"",""กำแพงเพชร!J422"")"),0)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IFERROR(__xludf.DUMMYFUNCTION("IMPORTRANGE(""https://docs.google.com/spreadsheets/d/11923uPwbBZFjjGgGUA6NLw09EwE0CqkOc4q9oUmW1yo/edit?usp=sharing"",""กำแพงเพชร!I423"")"),0)</f>
        <v>0</v>
      </c>
      <c r="J528" s="197">
        <f ca="1">IFERROR(__xludf.DUMMYFUNCTION("IMPORTRANGE(""https://docs.google.com/spreadsheets/d/11923uPwbBZFjjGgGUA6NLw09EwE0CqkOc4q9oUmW1yo/edit?usp=sharing"",""กำแพงเพชร!J423"")"),0)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IFERROR(__xludf.DUMMYFUNCTION("IMPORTRANGE(""https://docs.google.com/spreadsheets/d/11923uPwbBZFjjGgGUA6NLw09EwE0CqkOc4q9oUmW1yo/edit?usp=sharing"",""กำแพงเพชร!I424"")"),0)</f>
        <v>0</v>
      </c>
      <c r="J529" s="197">
        <f ca="1">IFERROR(__xludf.DUMMYFUNCTION("IMPORTRANGE(""https://docs.google.com/spreadsheets/d/11923uPwbBZFjjGgGUA6NLw09EwE0CqkOc4q9oUmW1yo/edit?usp=sharing"",""กำแพงเพชร!J424"")"),0)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IFERROR(__xludf.DUMMYFUNCTION("IMPORTRANGE(""https://docs.google.com/spreadsheets/d/11923uPwbBZFjjGgGUA6NLw09EwE0CqkOc4q9oUmW1yo/edit?usp=sharing"",""กำแพงเพชร!I425"")"),0)</f>
        <v>0</v>
      </c>
      <c r="J530" s="197">
        <f ca="1">IFERROR(__xludf.DUMMYFUNCTION("IMPORTRANGE(""https://docs.google.com/spreadsheets/d/11923uPwbBZFjjGgGUA6NLw09EwE0CqkOc4q9oUmW1yo/edit?usp=sharing"",""กำแพงเพชร!J425"")"),0)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IFERROR(__xludf.DUMMYFUNCTION("IMPORTRANGE(""https://docs.google.com/spreadsheets/d/11923uPwbBZFjjGgGUA6NLw09EwE0CqkOc4q9oUmW1yo/edit?usp=sharing"",""กำแพงเพชร!I426"")"),0)</f>
        <v>0</v>
      </c>
      <c r="J531" s="197">
        <f ca="1">IFERROR(__xludf.DUMMYFUNCTION("IMPORTRANGE(""https://docs.google.com/spreadsheets/d/11923uPwbBZFjjGgGUA6NLw09EwE0CqkOc4q9oUmW1yo/edit?usp=sharing"",""กำแพงเพชร!J426"")"),0)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IFERROR(__xludf.DUMMYFUNCTION("IMPORTRANGE(""https://docs.google.com/spreadsheets/d/11923uPwbBZFjjGgGUA6NLw09EwE0CqkOc4q9oUmW1yo/edit?usp=sharing"",""กำแพงเพชร!I427"")"),0)</f>
        <v>0</v>
      </c>
      <c r="J532" s="466">
        <f ca="1">IFERROR(__xludf.DUMMYFUNCTION("IMPORTRANGE(""https://docs.google.com/spreadsheets/d/11923uPwbBZFjjGgGUA6NLw09EwE0CqkOc4q9oUmW1yo/edit?usp=sharing"",""กำแพงเพชร!J427"")"),0)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IFERROR(__xludf.DUMMYFUNCTION("IMPORTRANGE(""https://docs.google.com/spreadsheets/d/11923uPwbBZFjjGgGUA6NLw09EwE0CqkOc4q9oUmW1yo/edit?usp=sharing"",""กำแพงเพชร!I428"")"),22)</f>
        <v>22</v>
      </c>
      <c r="J533" s="409">
        <f ca="1">IFERROR(__xludf.DUMMYFUNCTION("IMPORTRANGE(""https://docs.google.com/spreadsheets/d/11923uPwbBZFjjGgGUA6NLw09EwE0CqkOc4q9oUmW1yo/edit?usp=sharing"",""กำแพงเพชร!J428"")"),22)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IFERROR(__xludf.DUMMYFUNCTION("IMPORTRANGE(""https://docs.google.com/spreadsheets/d/11923uPwbBZFjjGgGUA6NLw09EwE0CqkOc4q9oUmW1yo/edit?usp=sharing"",""กำแพงเพชร!L428"")"),34350)</f>
        <v>34350</v>
      </c>
      <c r="M533" s="411"/>
      <c r="N533" s="411">
        <f ca="1">IFERROR(__xludf.DUMMYFUNCTION("IMPORTRANGE(""https://docs.google.com/spreadsheets/d/11923uPwbBZFjjGgGUA6NLw09EwE0CqkOc4q9oUmW1yo/edit?usp=sharing"",""กำแพงเพชร!M428"")"),34350)</f>
        <v>34350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IFERROR(__xludf.DUMMYFUNCTION("IMPORTRANGE(""https://docs.google.com/spreadsheets/d/11923uPwbBZFjjGgGUA6NLw09EwE0CqkOc4q9oUmW1yo/edit?usp=sharing"",""กำแพงเพชร!L429"")"),0)</f>
        <v>0</v>
      </c>
      <c r="M534" s="164"/>
      <c r="N534" s="168">
        <f ca="1">IFERROR(__xludf.DUMMYFUNCTION("IMPORTRANGE(""https://docs.google.com/spreadsheets/d/11923uPwbBZFjjGgGUA6NLw09EwE0CqkOc4q9oUmW1yo/edit?usp=sharing"",""กำแพงเพชร!M429"")"),0)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IFERROR(__xludf.DUMMYFUNCTION("IMPORTRANGE(""https://docs.google.com/spreadsheets/d/11923uPwbBZFjjGgGUA6NLw09EwE0CqkOc4q9oUmW1yo/edit?usp=sharing"",""กำแพงเพชร!L430"")"),34350)</f>
        <v>34350</v>
      </c>
      <c r="M535" s="165"/>
      <c r="N535" s="168">
        <f ca="1">IFERROR(__xludf.DUMMYFUNCTION("IMPORTRANGE(""https://docs.google.com/spreadsheets/d/11923uPwbBZFjjGgGUA6NLw09EwE0CqkOc4q9oUmW1yo/edit?usp=sharing"",""กำแพงเพชร!M430"")"),34350)</f>
        <v>34350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IFERROR(__xludf.DUMMYFUNCTION("IMPORTRANGE(""https://docs.google.com/spreadsheets/d/11923uPwbBZFjjGgGUA6NLw09EwE0CqkOc4q9oUmW1yo/edit?usp=sharing"",""กำแพงเพชร!L431"")"),0)</f>
        <v>0</v>
      </c>
      <c r="M536" s="168"/>
      <c r="N536" s="168">
        <f ca="1">IFERROR(__xludf.DUMMYFUNCTION("IMPORTRANGE(""https://docs.google.com/spreadsheets/d/11923uPwbBZFjjGgGUA6NLw09EwE0CqkOc4q9oUmW1yo/edit?usp=sharing"",""กำแพงเพชร!M431"")"),0)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IFERROR(__xludf.DUMMYFUNCTION("IMPORTRANGE(""https://docs.google.com/spreadsheets/d/11923uPwbBZFjjGgGUA6NLw09EwE0CqkOc4q9oUmW1yo/edit?usp=sharing"",""กำแพงเพชร!L432"")"),34350)</f>
        <v>34350</v>
      </c>
      <c r="M537" s="168"/>
      <c r="N537" s="168">
        <f ca="1">IFERROR(__xludf.DUMMYFUNCTION("IMPORTRANGE(""https://docs.google.com/spreadsheets/d/11923uPwbBZFjjGgGUA6NLw09EwE0CqkOc4q9oUmW1yo/edit?usp=sharing"",""กำแพงเพชร!M432"")"),34350)</f>
        <v>34350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IFERROR(__xludf.DUMMYFUNCTION("IMPORTRANGE(""https://docs.google.com/spreadsheets/d/11923uPwbBZFjjGgGUA6NLw09EwE0CqkOc4q9oUmW1yo/edit?usp=sharing"",""กำแพงเพชร!M433"")"),20160)</f>
        <v>20160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IFERROR(__xludf.DUMMYFUNCTION("IMPORTRANGE(""https://docs.google.com/spreadsheets/d/11923uPwbBZFjjGgGUA6NLw09EwE0CqkOc4q9oUmW1yo/edit?usp=sharing"",""กำแพงเพชร!M434"")"),0)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IFERROR(__xludf.DUMMYFUNCTION("IMPORTRANGE(""https://docs.google.com/spreadsheets/d/11923uPwbBZFjjGgGUA6NLw09EwE0CqkOc4q9oUmW1yo/edit?usp=sharing"",""กำแพงเพชร!M435"")"),0)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IFERROR(__xludf.DUMMYFUNCTION("IMPORTRANGE(""https://docs.google.com/spreadsheets/d/11923uPwbBZFjjGgGUA6NLw09EwE0CqkOc4q9oUmW1yo/edit?usp=sharing"",""กำแพงเพชร!M436"")"),14190)</f>
        <v>14190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IFERROR(__xludf.DUMMYFUNCTION("IMPORTRANGE(""https://docs.google.com/spreadsheets/d/11923uPwbBZFjjGgGUA6NLw09EwE0CqkOc4q9oUmW1yo/edit?usp=sharing"",""กำแพงเพชร!J438"")"),0)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IFERROR(__xludf.DUMMYFUNCTION("IMPORTRANGE(""https://docs.google.com/spreadsheets/d/11923uPwbBZFjjGgGUA6NLw09EwE0CqkOc4q9oUmW1yo/edit?usp=sharing"",""กำแพงเพชร!J439"")"),1)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IFERROR(__xludf.DUMMYFUNCTION("IMPORTRANGE(""https://docs.google.com/spreadsheets/d/11923uPwbBZFjjGgGUA6NLw09EwE0CqkOc4q9oUmW1yo/edit?usp=sharing"",""กำแพงเพชร!J440"")"),1)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IFERROR(__xludf.DUMMYFUNCTION("IMPORTRANGE(""https://docs.google.com/spreadsheets/d/11923uPwbBZFjjGgGUA6NLw09EwE0CqkOc4q9oUmW1yo/edit?usp=sharing"",""กำแพงเพชร!J441"")"),1)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IFERROR(__xludf.DUMMYFUNCTION("IMPORTRANGE(""https://docs.google.com/spreadsheets/d/11923uPwbBZFjjGgGUA6NLw09EwE0CqkOc4q9oUmW1yo/edit?usp=sharing"",""กำแพงเพชร!I442"")"),22)</f>
        <v>22</v>
      </c>
      <c r="J547" s="188">
        <f ca="1">IFERROR(__xludf.DUMMYFUNCTION("IMPORTRANGE(""https://docs.google.com/spreadsheets/d/11923uPwbBZFjjGgGUA6NLw09EwE0CqkOc4q9oUmW1yo/edit?usp=sharing"",""กำแพงเพชร!J442"")"),22)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IFERROR(__xludf.DUMMYFUNCTION("IMPORTRANGE(""https://docs.google.com/spreadsheets/d/11923uPwbBZFjjGgGUA6NLw09EwE0CqkOc4q9oUmW1yo/edit?usp=sharing"",""กำแพงเพชร!J166"")"),0)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IFERROR(__xludf.DUMMYFUNCTION("IMPORTRANGE(""https://docs.google.com/spreadsheets/d/11923uPwbBZFjjGgGUA6NLw09EwE0CqkOc4q9oUmW1yo/edit?usp=sharing"",""กำแพงเพชร!J444"")"),0)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IFERROR(__xludf.DUMMYFUNCTION("IMPORTRANGE(""https://docs.google.com/spreadsheets/d/11923uPwbBZFjjGgGUA6NLw09EwE0CqkOc4q9oUmW1yo/edit?usp=sharing"",""กำแพงเพชร!J445"")"),0)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IFERROR(__xludf.DUMMYFUNCTION("IMPORTRANGE(""https://docs.google.com/spreadsheets/d/11923uPwbBZFjjGgGUA6NLw09EwE0CqkOc4q9oUmW1yo/edit?usp=sharing"",""กำแพงเพชร!I446"")"),5000)</f>
        <v>5000</v>
      </c>
      <c r="J551" s="409">
        <f ca="1">IFERROR(__xludf.DUMMYFUNCTION("IMPORTRANGE(""https://docs.google.com/spreadsheets/d/11923uPwbBZFjjGgGUA6NLw09EwE0CqkOc4q9oUmW1yo/edit?usp=sharing"",""กำแพงเพชร!J446"")"),4900)</f>
        <v>4900</v>
      </c>
      <c r="K551" s="410">
        <f ca="1">IF(I551&gt;0,J551*100/I551,0)</f>
        <v>98</v>
      </c>
      <c r="L551" s="411">
        <f ca="1">IFERROR(__xludf.DUMMYFUNCTION("IMPORTRANGE(""https://docs.google.com/spreadsheets/d/11923uPwbBZFjjGgGUA6NLw09EwE0CqkOc4q9oUmW1yo/edit?usp=sharing"",""กำแพงเพชร!L446"")"),320000)</f>
        <v>320000</v>
      </c>
      <c r="M551" s="411"/>
      <c r="N551" s="411">
        <f ca="1">IFERROR(__xludf.DUMMYFUNCTION("IMPORTRANGE(""https://docs.google.com/spreadsheets/d/11923uPwbBZFjjGgGUA6NLw09EwE0CqkOc4q9oUmW1yo/edit?usp=sharing"",""กำแพงเพชร!M446"")"),118260.65)</f>
        <v>118260.65</v>
      </c>
      <c r="O551" s="411">
        <f t="shared" ref="O551:O555" ca="1" si="120">+IF(L551&gt;0,N551*100/L551,0)</f>
        <v>36.956453125000003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IFERROR(__xludf.DUMMYFUNCTION("IMPORTRANGE(""https://docs.google.com/spreadsheets/d/11923uPwbBZFjjGgGUA6NLw09EwE0CqkOc4q9oUmW1yo/edit?usp=sharing"",""กำแพงเพชร!L447"")"),0)</f>
        <v>0</v>
      </c>
      <c r="M552" s="164"/>
      <c r="N552" s="168">
        <f ca="1">IFERROR(__xludf.DUMMYFUNCTION("IMPORTRANGE(""https://docs.google.com/spreadsheets/d/11923uPwbBZFjjGgGUA6NLw09EwE0CqkOc4q9oUmW1yo/edit?usp=sharing"",""กำแพงเพชร!M447"")"),0)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IFERROR(__xludf.DUMMYFUNCTION("IMPORTRANGE(""https://docs.google.com/spreadsheets/d/11923uPwbBZFjjGgGUA6NLw09EwE0CqkOc4q9oUmW1yo/edit?usp=sharing"",""กำแพงเพชร!L448"")"),320000)</f>
        <v>320000</v>
      </c>
      <c r="M553" s="165"/>
      <c r="N553" s="168">
        <f ca="1">IFERROR(__xludf.DUMMYFUNCTION("IMPORTRANGE(""https://docs.google.com/spreadsheets/d/11923uPwbBZFjjGgGUA6NLw09EwE0CqkOc4q9oUmW1yo/edit?usp=sharing"",""กำแพงเพชร!M448"")"),118260.65)</f>
        <v>118260.65</v>
      </c>
      <c r="O553" s="168">
        <f t="shared" ca="1" si="120"/>
        <v>36.956453125000003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IFERROR(__xludf.DUMMYFUNCTION("IMPORTRANGE(""https://docs.google.com/spreadsheets/d/11923uPwbBZFjjGgGUA6NLw09EwE0CqkOc4q9oUmW1yo/edit?usp=sharing"",""กำแพงเพชร!L449"")"),0)</f>
        <v>0</v>
      </c>
      <c r="M554" s="168"/>
      <c r="N554" s="168">
        <f ca="1">IFERROR(__xludf.DUMMYFUNCTION("IMPORTRANGE(""https://docs.google.com/spreadsheets/d/11923uPwbBZFjjGgGUA6NLw09EwE0CqkOc4q9oUmW1yo/edit?usp=sharing"",""กำแพงเพชร!M449"")"),0)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IFERROR(__xludf.DUMMYFUNCTION("IMPORTRANGE(""https://docs.google.com/spreadsheets/d/11923uPwbBZFjjGgGUA6NLw09EwE0CqkOc4q9oUmW1yo/edit?usp=sharing"",""กำแพงเพชร!L450"")"),320000)</f>
        <v>320000</v>
      </c>
      <c r="M555" s="168"/>
      <c r="N555" s="168">
        <f ca="1">IFERROR(__xludf.DUMMYFUNCTION("IMPORTRANGE(""https://docs.google.com/spreadsheets/d/11923uPwbBZFjjGgGUA6NLw09EwE0CqkOc4q9oUmW1yo/edit?usp=sharing"",""กำแพงเพชร!M450"")"),118260.65)</f>
        <v>118260.65</v>
      </c>
      <c r="O555" s="168">
        <f t="shared" ca="1" si="120"/>
        <v>36.956453125000003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IFERROR(__xludf.DUMMYFUNCTION("IMPORTRANGE(""https://docs.google.com/spreadsheets/d/11923uPwbBZFjjGgGUA6NLw09EwE0CqkOc4q9oUmW1yo/edit?usp=sharing"",""กำแพงเพชร!M451"")"),0)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IFERROR(__xludf.DUMMYFUNCTION("IMPORTRANGE(""https://docs.google.com/spreadsheets/d/11923uPwbBZFjjGgGUA6NLw09EwE0CqkOc4q9oUmW1yo/edit?usp=sharing"",""กำแพงเพชร!M452"")"),0)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IFERROR(__xludf.DUMMYFUNCTION("IMPORTRANGE(""https://docs.google.com/spreadsheets/d/11923uPwbBZFjjGgGUA6NLw09EwE0CqkOc4q9oUmW1yo/edit?usp=sharing"",""กำแพงเพชร!M453"")"),26400)</f>
        <v>26400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IFERROR(__xludf.DUMMYFUNCTION("IMPORTRANGE(""https://docs.google.com/spreadsheets/d/11923uPwbBZFjjGgGUA6NLw09EwE0CqkOc4q9oUmW1yo/edit?usp=sharing"",""กำแพงเพชร!M454"")"),91860.65)</f>
        <v>91860.65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IFERROR(__xludf.DUMMYFUNCTION("IMPORTRANGE(""https://docs.google.com/spreadsheets/d/11923uPwbBZFjjGgGUA6NLw09EwE0CqkOc4q9oUmW1yo/edit?usp=sharing"",""กำแพงเพชร!I455"")"),5000)</f>
        <v>5000</v>
      </c>
      <c r="J560" s="162">
        <f ca="1">IFERROR(__xludf.DUMMYFUNCTION("IMPORTRANGE(""https://docs.google.com/spreadsheets/d/11923uPwbBZFjjGgGUA6NLw09EwE0CqkOc4q9oUmW1yo/edit?usp=sharing"",""กำแพงเพชร!J455"")"),4900)</f>
        <v>4900</v>
      </c>
      <c r="K560" s="224">
        <f t="shared" ref="K560:K561" ca="1" si="121">IF(I560&gt;0,J560*100/I560,0)</f>
        <v>98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IFERROR(__xludf.DUMMYFUNCTION("IMPORTRANGE(""https://docs.google.com/spreadsheets/d/11923uPwbBZFjjGgGUA6NLw09EwE0CqkOc4q9oUmW1yo/edit?usp=sharing"",""กำแพงเพชร!I456"")"),0)</f>
        <v>0</v>
      </c>
      <c r="J561" s="203">
        <f ca="1">IFERROR(__xludf.DUMMYFUNCTION("IMPORTRANGE(""https://docs.google.com/spreadsheets/d/11923uPwbBZFjjGgGUA6NLw09EwE0CqkOc4q9oUmW1yo/edit?usp=sharing"",""กำแพงเพชร!J456"")"),305)</f>
        <v>305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IFERROR(__xludf.DUMMYFUNCTION("IMPORTRANGE(""https://docs.google.com/spreadsheets/d/11923uPwbBZFjjGgGUA6NLw09EwE0CqkOc4q9oUmW1yo/edit?usp=sharing"",""กำแพงเพชร!I459"")"),4900)</f>
        <v>4900</v>
      </c>
      <c r="J564" s="370">
        <f ca="1">IFERROR(__xludf.DUMMYFUNCTION("IMPORTRANGE(""https://docs.google.com/spreadsheets/d/11923uPwbBZFjjGgGUA6NLw09EwE0CqkOc4q9oUmW1yo/edit?usp=sharing"",""กำแพงเพชร!J459"")"),10221)</f>
        <v>10221</v>
      </c>
      <c r="K564" s="371">
        <f ca="1">IF(I564&gt;0,J564*100/I564,0)</f>
        <v>208.59183673469389</v>
      </c>
      <c r="L564" s="372">
        <f ca="1">IFERROR(__xludf.DUMMYFUNCTION("IMPORTRANGE(""https://docs.google.com/spreadsheets/d/11923uPwbBZFjjGgGUA6NLw09EwE0CqkOc4q9oUmW1yo/edit?usp=sharing"",""กำแพงเพชร!L459"")"),168000)</f>
        <v>168000</v>
      </c>
      <c r="M564" s="372"/>
      <c r="N564" s="372">
        <f ca="1">IFERROR(__xludf.DUMMYFUNCTION("IMPORTRANGE(""https://docs.google.com/spreadsheets/d/11923uPwbBZFjjGgGUA6NLw09EwE0CqkOc4q9oUmW1yo/edit?usp=sharing"",""กำแพงเพชร!M459"")"),117104)</f>
        <v>117104</v>
      </c>
      <c r="O564" s="372">
        <f t="shared" ref="O564:O568" ca="1" si="122">+IF(L564&gt;0,N564*100/L564,0)</f>
        <v>69.704761904761909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IFERROR(__xludf.DUMMYFUNCTION("IMPORTRANGE(""https://docs.google.com/spreadsheets/d/11923uPwbBZFjjGgGUA6NLw09EwE0CqkOc4q9oUmW1yo/edit?usp=sharing"",""กำแพงเพชร!L460"")"),0)</f>
        <v>0</v>
      </c>
      <c r="M565" s="164"/>
      <c r="N565" s="168">
        <f ca="1">IFERROR(__xludf.DUMMYFUNCTION("IMPORTRANGE(""https://docs.google.com/spreadsheets/d/11923uPwbBZFjjGgGUA6NLw09EwE0CqkOc4q9oUmW1yo/edit?usp=sharing"",""กำแพงเพชร!M460"")"),0)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IFERROR(__xludf.DUMMYFUNCTION("IMPORTRANGE(""https://docs.google.com/spreadsheets/d/11923uPwbBZFjjGgGUA6NLw09EwE0CqkOc4q9oUmW1yo/edit?usp=sharing"",""กำแพงเพชร!L461"")"),168000)</f>
        <v>168000</v>
      </c>
      <c r="M566" s="165"/>
      <c r="N566" s="168">
        <f ca="1">IFERROR(__xludf.DUMMYFUNCTION("IMPORTRANGE(""https://docs.google.com/spreadsheets/d/11923uPwbBZFjjGgGUA6NLw09EwE0CqkOc4q9oUmW1yo/edit?usp=sharing"",""กำแพงเพชร!M461"")"),117104)</f>
        <v>117104</v>
      </c>
      <c r="O566" s="168">
        <f t="shared" ca="1" si="122"/>
        <v>69.704761904761909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IFERROR(__xludf.DUMMYFUNCTION("IMPORTRANGE(""https://docs.google.com/spreadsheets/d/11923uPwbBZFjjGgGUA6NLw09EwE0CqkOc4q9oUmW1yo/edit?usp=sharing"",""กำแพงเพชร!L462"")"),0)</f>
        <v>0</v>
      </c>
      <c r="M567" s="168"/>
      <c r="N567" s="168">
        <f ca="1">IFERROR(__xludf.DUMMYFUNCTION("IMPORTRANGE(""https://docs.google.com/spreadsheets/d/11923uPwbBZFjjGgGUA6NLw09EwE0CqkOc4q9oUmW1yo/edit?usp=sharing"",""กำแพงเพชร!M462"")"),0)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IFERROR(__xludf.DUMMYFUNCTION("IMPORTRANGE(""https://docs.google.com/spreadsheets/d/11923uPwbBZFjjGgGUA6NLw09EwE0CqkOc4q9oUmW1yo/edit?usp=sharing"",""กำแพงเพชร!L463"")"),168000)</f>
        <v>168000</v>
      </c>
      <c r="M568" s="168"/>
      <c r="N568" s="168">
        <f ca="1">IFERROR(__xludf.DUMMYFUNCTION("IMPORTRANGE(""https://docs.google.com/spreadsheets/d/11923uPwbBZFjjGgGUA6NLw09EwE0CqkOc4q9oUmW1yo/edit?usp=sharing"",""กำแพงเพชร!M463"")"),117104)</f>
        <v>117104</v>
      </c>
      <c r="O568" s="168">
        <f t="shared" ca="1" si="122"/>
        <v>69.704761904761909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IFERROR(__xludf.DUMMYFUNCTION("IMPORTRANGE(""https://docs.google.com/spreadsheets/d/11923uPwbBZFjjGgGUA6NLw09EwE0CqkOc4q9oUmW1yo/edit?usp=sharing"",""กำแพงเพชร!M464"")"),0)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IFERROR(__xludf.DUMMYFUNCTION("IMPORTRANGE(""https://docs.google.com/spreadsheets/d/11923uPwbBZFjjGgGUA6NLw09EwE0CqkOc4q9oUmW1yo/edit?usp=sharing"",""กำแพงเพชร!M465"")"),0)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IFERROR(__xludf.DUMMYFUNCTION("IMPORTRANGE(""https://docs.google.com/spreadsheets/d/11923uPwbBZFjjGgGUA6NLw09EwE0CqkOc4q9oUmW1yo/edit?usp=sharing"",""กำแพงเพชร!M466"")"),70000)</f>
        <v>70000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IFERROR(__xludf.DUMMYFUNCTION("IMPORTRANGE(""https://docs.google.com/spreadsheets/d/11923uPwbBZFjjGgGUA6NLw09EwE0CqkOc4q9oUmW1yo/edit?usp=sharing"",""กำแพงเพชร!M467"")"),47104)</f>
        <v>47104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IFERROR(__xludf.DUMMYFUNCTION("IMPORTRANGE(""https://docs.google.com/spreadsheets/d/11923uPwbBZFjjGgGUA6NLw09EwE0CqkOc4q9oUmW1yo/edit?usp=sharing"",""กำแพงเพชร!I468"")"),4900)</f>
        <v>4900</v>
      </c>
      <c r="J573" s="420">
        <f ca="1">IFERROR(__xludf.DUMMYFUNCTION("IMPORTRANGE(""https://docs.google.com/spreadsheets/d/11923uPwbBZFjjGgGUA6NLw09EwE0CqkOc4q9oUmW1yo/edit?usp=sharing"",""กำแพงเพชร!J468"")"),10221)</f>
        <v>10221</v>
      </c>
      <c r="K573" s="201">
        <f ca="1">IF(I573&gt;0,J573*100/I573,0)</f>
        <v>208.59183673469389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IFERROR(__xludf.DUMMYFUNCTION("IMPORTRANGE(""https://docs.google.com/spreadsheets/d/11923uPwbBZFjjGgGUA6NLw09EwE0CqkOc4q9oUmW1yo/edit?usp=sharing"",""กำแพงเพชร!I470"")"),0)</f>
        <v>0</v>
      </c>
      <c r="J575" s="197">
        <f ca="1">IFERROR(__xludf.DUMMYFUNCTION("IMPORTRANGE(""https://docs.google.com/spreadsheets/d/11923uPwbBZFjjGgGUA6NLw09EwE0CqkOc4q9oUmW1yo/edit?usp=sharing"",""กำแพงเพชร!J470"")"),4)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IFERROR(__xludf.DUMMYFUNCTION("IMPORTRANGE(""https://docs.google.com/spreadsheets/d/11923uPwbBZFjjGgGUA6NLw09EwE0CqkOc4q9oUmW1yo/edit?usp=sharing"",""กำแพงเพชร!I471"")"),0)</f>
        <v>0</v>
      </c>
      <c r="J576" s="197">
        <f ca="1">IFERROR(__xludf.DUMMYFUNCTION("IMPORTRANGE(""https://docs.google.com/spreadsheets/d/11923uPwbBZFjjGgGUA6NLw09EwE0CqkOc4q9oUmW1yo/edit?usp=sharing"",""กำแพงเพชร!J471"")"),94)</f>
        <v>94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IFERROR(__xludf.DUMMYFUNCTION("IMPORTRANGE(""https://docs.google.com/spreadsheets/d/11923uPwbBZFjjGgGUA6NLw09EwE0CqkOc4q9oUmW1yo/edit?usp=sharing"",""กำแพงเพชร!I472"")"),0)</f>
        <v>0</v>
      </c>
      <c r="J577" s="188">
        <f ca="1">IFERROR(__xludf.DUMMYFUNCTION("IMPORTRANGE(""https://docs.google.com/spreadsheets/d/11923uPwbBZFjjGgGUA6NLw09EwE0CqkOc4q9oUmW1yo/edit?usp=sharing"",""กำแพงเพชร!J472"")"),10127)</f>
        <v>10127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IFERROR(__xludf.DUMMYFUNCTION("IMPORTRANGE(""https://docs.google.com/spreadsheets/d/11923uPwbBZFjjGgGUA6NLw09EwE0CqkOc4q9oUmW1yo/edit?usp=sharing"",""กำแพงเพชร!I473"")"),0)</f>
        <v>0</v>
      </c>
      <c r="J578" s="197">
        <f ca="1">IFERROR(__xludf.DUMMYFUNCTION("IMPORTRANGE(""https://docs.google.com/spreadsheets/d/11923uPwbBZFjjGgGUA6NLw09EwE0CqkOc4q9oUmW1yo/edit?usp=sharing"",""กำแพงเพชร!J473"")"),0)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IFERROR(__xludf.DUMMYFUNCTION("IMPORTRANGE(""https://docs.google.com/spreadsheets/d/11923uPwbBZFjjGgGUA6NLw09EwE0CqkOc4q9oUmW1yo/edit?usp=sharing"",""กำแพงเพชร!I474"")"),0)</f>
        <v>0</v>
      </c>
      <c r="J579" s="197">
        <f ca="1">IFERROR(__xludf.DUMMYFUNCTION("IMPORTRANGE(""https://docs.google.com/spreadsheets/d/11923uPwbBZFjjGgGUA6NLw09EwE0CqkOc4q9oUmW1yo/edit?usp=sharing"",""กำแพงเพชร!J474"")"),0)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IFERROR(__xludf.DUMMYFUNCTION("IMPORTRANGE(""https://docs.google.com/spreadsheets/d/11923uPwbBZFjjGgGUA6NLw09EwE0CqkOc4q9oUmW1yo/edit?usp=sharing"",""กำแพงเพชร!I475"")"),250)</f>
        <v>250</v>
      </c>
      <c r="J580" s="370">
        <f ca="1">IFERROR(__xludf.DUMMYFUNCTION("IMPORTRANGE(""https://docs.google.com/spreadsheets/d/11923uPwbBZFjjGgGUA6NLw09EwE0CqkOc4q9oUmW1yo/edit?usp=sharing"",""กำแพงเพชร!J475"")"),2)</f>
        <v>2</v>
      </c>
      <c r="K580" s="371">
        <f ca="1">IF(I580&gt;0,J580*100/I580,0)</f>
        <v>0.8</v>
      </c>
      <c r="L580" s="372">
        <f ca="1">IFERROR(__xludf.DUMMYFUNCTION("IMPORTRANGE(""https://docs.google.com/spreadsheets/d/11923uPwbBZFjjGgGUA6NLw09EwE0CqkOc4q9oUmW1yo/edit?usp=sharing"",""กำแพงเพชร!L475"")"),395350)</f>
        <v>395350</v>
      </c>
      <c r="M580" s="372"/>
      <c r="N580" s="372">
        <f ca="1">IFERROR(__xludf.DUMMYFUNCTION("IMPORTRANGE(""https://docs.google.com/spreadsheets/d/11923uPwbBZFjjGgGUA6NLw09EwE0CqkOc4q9oUmW1yo/edit?usp=sharing"",""กำแพงเพชร!M475"")"),0)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IFERROR(__xludf.DUMMYFUNCTION("IMPORTRANGE(""https://docs.google.com/spreadsheets/d/11923uPwbBZFjjGgGUA6NLw09EwE0CqkOc4q9oUmW1yo/edit?usp=sharing"",""กำแพงเพชร!L476"")"),0)</f>
        <v>0</v>
      </c>
      <c r="M581" s="164"/>
      <c r="N581" s="168">
        <f ca="1">IFERROR(__xludf.DUMMYFUNCTION("IMPORTRANGE(""https://docs.google.com/spreadsheets/d/11923uPwbBZFjjGgGUA6NLw09EwE0CqkOc4q9oUmW1yo/edit?usp=sharing"",""กำแพงเพชร!M476"")"),0)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IFERROR(__xludf.DUMMYFUNCTION("IMPORTRANGE(""https://docs.google.com/spreadsheets/d/11923uPwbBZFjjGgGUA6NLw09EwE0CqkOc4q9oUmW1yo/edit?usp=sharing"",""กำแพงเพชร!L477"")"),395350)</f>
        <v>395350</v>
      </c>
      <c r="M582" s="165"/>
      <c r="N582" s="168">
        <f ca="1">IFERROR(__xludf.DUMMYFUNCTION("IMPORTRANGE(""https://docs.google.com/spreadsheets/d/11923uPwbBZFjjGgGUA6NLw09EwE0CqkOc4q9oUmW1yo/edit?usp=sharing"",""กำแพงเพชร!M477"")"),0)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IFERROR(__xludf.DUMMYFUNCTION("IMPORTRANGE(""https://docs.google.com/spreadsheets/d/11923uPwbBZFjjGgGUA6NLw09EwE0CqkOc4q9oUmW1yo/edit?usp=sharing"",""กำแพงเพชร!L478"")"),0)</f>
        <v>0</v>
      </c>
      <c r="M583" s="168"/>
      <c r="N583" s="168">
        <f ca="1">IFERROR(__xludf.DUMMYFUNCTION("IMPORTRANGE(""https://docs.google.com/spreadsheets/d/11923uPwbBZFjjGgGUA6NLw09EwE0CqkOc4q9oUmW1yo/edit?usp=sharing"",""กำแพงเพชร!M478"")"),0)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IFERROR(__xludf.DUMMYFUNCTION("IMPORTRANGE(""https://docs.google.com/spreadsheets/d/11923uPwbBZFjjGgGUA6NLw09EwE0CqkOc4q9oUmW1yo/edit?usp=sharing"",""กำแพงเพชร!L479"")"),395350)</f>
        <v>395350</v>
      </c>
      <c r="M584" s="168"/>
      <c r="N584" s="168">
        <f ca="1">IFERROR(__xludf.DUMMYFUNCTION("IMPORTRANGE(""https://docs.google.com/spreadsheets/d/11923uPwbBZFjjGgGUA6NLw09EwE0CqkOc4q9oUmW1yo/edit?usp=sharing"",""กำแพงเพชร!M479"")"),0)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IFERROR(__xludf.DUMMYFUNCTION("IMPORTRANGE(""https://docs.google.com/spreadsheets/d/11923uPwbBZFjjGgGUA6NLw09EwE0CqkOc4q9oUmW1yo/edit?usp=sharing"",""กำแพงเพชร!M480"")"),0)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IFERROR(__xludf.DUMMYFUNCTION("IMPORTRANGE(""https://docs.google.com/spreadsheets/d/11923uPwbBZFjjGgGUA6NLw09EwE0CqkOc4q9oUmW1yo/edit?usp=sharing"",""กำแพงเพชร!M481"")"),0)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IFERROR(__xludf.DUMMYFUNCTION("IMPORTRANGE(""https://docs.google.com/spreadsheets/d/11923uPwbBZFjjGgGUA6NLw09EwE0CqkOc4q9oUmW1yo/edit?usp=sharing"",""กำแพงเพชร!M482"")"),0)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IFERROR(__xludf.DUMMYFUNCTION("IMPORTRANGE(""https://docs.google.com/spreadsheets/d/11923uPwbBZFjjGgGUA6NLw09EwE0CqkOc4q9oUmW1yo/edit?usp=sharing"",""กำแพงเพชร!M483"")"),0)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IFERROR(__xludf.DUMMYFUNCTION("IMPORTRANGE(""https://docs.google.com/spreadsheets/d/11923uPwbBZFjjGgGUA6NLw09EwE0CqkOc4q9oUmW1yo/edit?usp=sharing"",""กำแพงเพชร!I484"")"),250)</f>
        <v>250</v>
      </c>
      <c r="J589" s="187">
        <f ca="1">IFERROR(__xludf.DUMMYFUNCTION("IMPORTRANGE(""https://docs.google.com/spreadsheets/d/11923uPwbBZFjjGgGUA6NLw09EwE0CqkOc4q9oUmW1yo/edit?usp=sharing"",""กำแพงเพชร!J484"")"),307)</f>
        <v>307</v>
      </c>
      <c r="K589" s="163">
        <f t="shared" ref="K589:K596" ca="1" si="125">IF(I589&gt;0,J589*100/I589,0)</f>
        <v>122.8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IFERROR(__xludf.DUMMYFUNCTION("IMPORTRANGE(""https://docs.google.com/spreadsheets/d/11923uPwbBZFjjGgGUA6NLw09EwE0CqkOc4q9oUmW1yo/edit?usp=sharing"",""กำแพงเพชร!I485"")"),0)</f>
        <v>0</v>
      </c>
      <c r="J590" s="187">
        <f ca="1">IFERROR(__xludf.DUMMYFUNCTION("IMPORTRANGE(""https://docs.google.com/spreadsheets/d/11923uPwbBZFjjGgGUA6NLw09EwE0CqkOc4q9oUmW1yo/edit?usp=sharing"",""กำแพงเพชร!J485"")"),255.57)</f>
        <v>255.57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IFERROR(__xludf.DUMMYFUNCTION("IMPORTRANGE(""https://docs.google.com/spreadsheets/d/11923uPwbBZFjjGgGUA6NLw09EwE0CqkOc4q9oUmW1yo/edit?usp=sharing"",""กำแพงเพชร!I486"")"),250)</f>
        <v>250</v>
      </c>
      <c r="J591" s="187">
        <f ca="1">IFERROR(__xludf.DUMMYFUNCTION("IMPORTRANGE(""https://docs.google.com/spreadsheets/d/11923uPwbBZFjjGgGUA6NLw09EwE0CqkOc4q9oUmW1yo/edit?usp=sharing"",""กำแพงเพชร!J486"")"),2)</f>
        <v>2</v>
      </c>
      <c r="K591" s="163">
        <f t="shared" ca="1" si="125"/>
        <v>0.8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IFERROR(__xludf.DUMMYFUNCTION("IMPORTRANGE(""https://docs.google.com/spreadsheets/d/11923uPwbBZFjjGgGUA6NLw09EwE0CqkOc4q9oUmW1yo/edit?usp=sharing"",""กำแพงเพชร!I487"")"),0)</f>
        <v>0</v>
      </c>
      <c r="J592" s="187">
        <f ca="1">IFERROR(__xludf.DUMMYFUNCTION("IMPORTRANGE(""https://docs.google.com/spreadsheets/d/11923uPwbBZFjjGgGUA6NLw09EwE0CqkOc4q9oUmW1yo/edit?usp=sharing"",""กำแพงเพชร!J487"")"),2.38)</f>
        <v>2.38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IFERROR(__xludf.DUMMYFUNCTION("IMPORTRANGE(""https://docs.google.com/spreadsheets/d/11923uPwbBZFjjGgGUA6NLw09EwE0CqkOc4q9oUmW1yo/edit?usp=sharing"",""กำแพงเพชร!I488"")"),250)</f>
        <v>250</v>
      </c>
      <c r="J593" s="187">
        <f ca="1">IFERROR(__xludf.DUMMYFUNCTION("IMPORTRANGE(""https://docs.google.com/spreadsheets/d/11923uPwbBZFjjGgGUA6NLw09EwE0CqkOc4q9oUmW1yo/edit?usp=sharing"",""กำแพงเพชร!J488"")"),0)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IFERROR(__xludf.DUMMYFUNCTION("IMPORTRANGE(""https://docs.google.com/spreadsheets/d/11923uPwbBZFjjGgGUA6NLw09EwE0CqkOc4q9oUmW1yo/edit?usp=sharing"",""กำแพงเพชร!I489"")"),0)</f>
        <v>0</v>
      </c>
      <c r="J594" s="187">
        <f ca="1">IFERROR(__xludf.DUMMYFUNCTION("IMPORTRANGE(""https://docs.google.com/spreadsheets/d/11923uPwbBZFjjGgGUA6NLw09EwE0CqkOc4q9oUmW1yo/edit?usp=sharing"",""กำแพงเพชร!J489"")"),0)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IFERROR(__xludf.DUMMYFUNCTION("IMPORTRANGE(""https://docs.google.com/spreadsheets/d/11923uPwbBZFjjGgGUA6NLw09EwE0CqkOc4q9oUmW1yo/edit?usp=sharing"",""กำแพงเพชร!I490"")"),250)</f>
        <v>250</v>
      </c>
      <c r="J595" s="187">
        <f ca="1">IFERROR(__xludf.DUMMYFUNCTION("IMPORTRANGE(""https://docs.google.com/spreadsheets/d/11923uPwbBZFjjGgGUA6NLw09EwE0CqkOc4q9oUmW1yo/edit?usp=sharing"",""กำแพงเพชร!J490"")"),2)</f>
        <v>2</v>
      </c>
      <c r="K595" s="163">
        <f t="shared" ca="1" si="125"/>
        <v>0.8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IFERROR(__xludf.DUMMYFUNCTION("IMPORTRANGE(""https://docs.google.com/spreadsheets/d/11923uPwbBZFjjGgGUA6NLw09EwE0CqkOc4q9oUmW1yo/edit?usp=sharing"",""กำแพงเพชร!I491"")"),0)</f>
        <v>0</v>
      </c>
      <c r="J596" s="241">
        <f ca="1">IFERROR(__xludf.DUMMYFUNCTION("IMPORTRANGE(""https://docs.google.com/spreadsheets/d/11923uPwbBZFjjGgGUA6NLw09EwE0CqkOc4q9oUmW1yo/edit?usp=sharing"",""กำแพงเพชร!J491"")"),2.38)</f>
        <v>2.38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IFERROR(__xludf.DUMMYFUNCTION("IMPORTRANGE(""https://docs.google.com/spreadsheets/d/11923uPwbBZFjjGgGUA6NLw09EwE0CqkOc4q9oUmW1yo/edit?usp=sharing"",""กำแพงเพชร!I492"")"),100)</f>
        <v>100</v>
      </c>
      <c r="J597" s="488">
        <f ca="1">IFERROR(__xludf.DUMMYFUNCTION("IMPORTRANGE(""https://docs.google.com/spreadsheets/d/11923uPwbBZFjjGgGUA6NLw09EwE0CqkOc4q9oUmW1yo/edit?usp=sharing"",""กำแพงเพชร!J492"")"),0)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IFERROR(__xludf.DUMMYFUNCTION("IMPORTRANGE(""https://docs.google.com/spreadsheets/d/11923uPwbBZFjjGgGUA6NLw09EwE0CqkOc4q9oUmW1yo/edit?usp=sharing"",""กำแพงเพชร!L492"")"),8900)</f>
        <v>8900</v>
      </c>
      <c r="M597" s="411"/>
      <c r="N597" s="411">
        <f ca="1">IFERROR(__xludf.DUMMYFUNCTION("IMPORTRANGE(""https://docs.google.com/spreadsheets/d/11923uPwbBZFjjGgGUA6NLw09EwE0CqkOc4q9oUmW1yo/edit?usp=sharing"",""กำแพงเพชร!M492"")"),1200)</f>
        <v>1200</v>
      </c>
      <c r="O597" s="411">
        <f t="shared" ref="O597:O601" ca="1" si="126">+IF(L597&gt;0,N597*100/L597,0)</f>
        <v>13.48314606741573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IFERROR(__xludf.DUMMYFUNCTION("IMPORTRANGE(""https://docs.google.com/spreadsheets/d/11923uPwbBZFjjGgGUA6NLw09EwE0CqkOc4q9oUmW1yo/edit?usp=sharing"",""กำแพงเพชร!L493"")"),0)</f>
        <v>0</v>
      </c>
      <c r="M598" s="164"/>
      <c r="N598" s="168">
        <f ca="1">IFERROR(__xludf.DUMMYFUNCTION("IMPORTRANGE(""https://docs.google.com/spreadsheets/d/11923uPwbBZFjjGgGUA6NLw09EwE0CqkOc4q9oUmW1yo/edit?usp=sharing"",""กำแพงเพชร!M493"")"),0)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IFERROR(__xludf.DUMMYFUNCTION("IMPORTRANGE(""https://docs.google.com/spreadsheets/d/11923uPwbBZFjjGgGUA6NLw09EwE0CqkOc4q9oUmW1yo/edit?usp=sharing"",""กำแพงเพชร!L494"")"),8900)</f>
        <v>8900</v>
      </c>
      <c r="M599" s="165"/>
      <c r="N599" s="168">
        <f ca="1">IFERROR(__xludf.DUMMYFUNCTION("IMPORTRANGE(""https://docs.google.com/spreadsheets/d/11923uPwbBZFjjGgGUA6NLw09EwE0CqkOc4q9oUmW1yo/edit?usp=sharing"",""กำแพงเพชร!M494"")"),1200)</f>
        <v>1200</v>
      </c>
      <c r="O599" s="168">
        <f t="shared" ca="1" si="126"/>
        <v>13.48314606741573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IFERROR(__xludf.DUMMYFUNCTION("IMPORTRANGE(""https://docs.google.com/spreadsheets/d/11923uPwbBZFjjGgGUA6NLw09EwE0CqkOc4q9oUmW1yo/edit?usp=sharing"",""กำแพงเพชร!L495"")"),0)</f>
        <v>0</v>
      </c>
      <c r="M600" s="168"/>
      <c r="N600" s="168">
        <f ca="1">IFERROR(__xludf.DUMMYFUNCTION("IMPORTRANGE(""https://docs.google.com/spreadsheets/d/11923uPwbBZFjjGgGUA6NLw09EwE0CqkOc4q9oUmW1yo/edit?usp=sharing"",""กำแพงเพชร!M495"")"),0)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IFERROR(__xludf.DUMMYFUNCTION("IMPORTRANGE(""https://docs.google.com/spreadsheets/d/11923uPwbBZFjjGgGUA6NLw09EwE0CqkOc4q9oUmW1yo/edit?usp=sharing"",""กำแพงเพชร!L496"")"),8900)</f>
        <v>8900</v>
      </c>
      <c r="M601" s="168"/>
      <c r="N601" s="168">
        <f ca="1">IFERROR(__xludf.DUMMYFUNCTION("IMPORTRANGE(""https://docs.google.com/spreadsheets/d/11923uPwbBZFjjGgGUA6NLw09EwE0CqkOc4q9oUmW1yo/edit?usp=sharing"",""กำแพงเพชร!M496"")"),1200)</f>
        <v>1200</v>
      </c>
      <c r="O601" s="168">
        <f t="shared" ca="1" si="126"/>
        <v>13.48314606741573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IFERROR(__xludf.DUMMYFUNCTION("IMPORTRANGE(""https://docs.google.com/spreadsheets/d/11923uPwbBZFjjGgGUA6NLw09EwE0CqkOc4q9oUmW1yo/edit?usp=sharing"",""กำแพงเพชร!M497"")"),0)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IFERROR(__xludf.DUMMYFUNCTION("IMPORTRANGE(""https://docs.google.com/spreadsheets/d/11923uPwbBZFjjGgGUA6NLw09EwE0CqkOc4q9oUmW1yo/edit?usp=sharing"",""กำแพงเพชร!M498"")"),0)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IFERROR(__xludf.DUMMYFUNCTION("IMPORTRANGE(""https://docs.google.com/spreadsheets/d/11923uPwbBZFjjGgGUA6NLw09EwE0CqkOc4q9oUmW1yo/edit?usp=sharing"",""กำแพงเพชร!M499"")"),1200)</f>
        <v>1200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IFERROR(__xludf.DUMMYFUNCTION("IMPORTRANGE(""https://docs.google.com/spreadsheets/d/11923uPwbBZFjjGgGUA6NLw09EwE0CqkOc4q9oUmW1yo/edit?usp=sharing"",""กำแพงเพชร!M500"")"),0)</f>
        <v>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IFERROR(__xludf.DUMMYFUNCTION("IMPORTRANGE(""https://docs.google.com/spreadsheets/d/11923uPwbBZFjjGgGUA6NLw09EwE0CqkOc4q9oUmW1yo/edit?usp=sharing"",""กำแพงเพชร!J502"")"),0)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IFERROR(__xludf.DUMMYFUNCTION("IMPORTRANGE(""https://docs.google.com/spreadsheets/d/11923uPwbBZFjjGgGUA6NLw09EwE0CqkOc4q9oUmW1yo/edit?usp=sharing"",""กำแพงเพชร!J503"")"),1)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IFERROR(__xludf.DUMMYFUNCTION("IMPORTRANGE(""https://docs.google.com/spreadsheets/d/11923uPwbBZFjjGgGUA6NLw09EwE0CqkOc4q9oUmW1yo/edit?usp=sharing"",""กำแพงเพชร!J166"")"),0)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IFERROR(__xludf.DUMMYFUNCTION("IMPORTRANGE(""https://docs.google.com/spreadsheets/d/11923uPwbBZFjjGgGUA6NLw09EwE0CqkOc4q9oUmW1yo/edit?usp=sharing"",""กำแพงเพชร!J166"")"),0)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IFERROR(__xludf.DUMMYFUNCTION("IMPORTRANGE(""https://docs.google.com/spreadsheets/d/11923uPwbBZFjjGgGUA6NLw09EwE0CqkOc4q9oUmW1yo/edit?usp=sharing"",""กำแพงเพชร!I506"")"),100)</f>
        <v>100</v>
      </c>
      <c r="J611" s="162">
        <f ca="1">IFERROR(__xludf.DUMMYFUNCTION("IMPORTRANGE(""https://docs.google.com/spreadsheets/d/11923uPwbBZFjjGgGUA6NLw09EwE0CqkOc4q9oUmW1yo/edit?usp=sharing"",""กำแพงเพชร!J506"")"),0)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IFERROR(__xludf.DUMMYFUNCTION("IMPORTRANGE(""https://docs.google.com/spreadsheets/d/11923uPwbBZFjjGgGUA6NLw09EwE0CqkOc4q9oUmW1yo/edit?usp=sharing"",""กำแพงเพชร!I507"")"),0)</f>
        <v>0</v>
      </c>
      <c r="J612" s="197">
        <f ca="1">IFERROR(__xludf.DUMMYFUNCTION("IMPORTRANGE(""https://docs.google.com/spreadsheets/d/11923uPwbBZFjjGgGUA6NLw09EwE0CqkOc4q9oUmW1yo/edit?usp=sharing"",""กำแพงเพชร!J507"")"),0)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IFERROR(__xludf.DUMMYFUNCTION("IMPORTRANGE(""https://docs.google.com/spreadsheets/d/11923uPwbBZFjjGgGUA6NLw09EwE0CqkOc4q9oUmW1yo/edit?usp=sharing"",""กำแพงเพชร!I508"")"),0)</f>
        <v>0</v>
      </c>
      <c r="J613" s="197">
        <f ca="1">IFERROR(__xludf.DUMMYFUNCTION("IMPORTRANGE(""https://docs.google.com/spreadsheets/d/11923uPwbBZFjjGgGUA6NLw09EwE0CqkOc4q9oUmW1yo/edit?usp=sharing"",""กำแพงเพชร!J508"")"),0)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IFERROR(__xludf.DUMMYFUNCTION("IMPORTRANGE(""https://docs.google.com/spreadsheets/d/11923uPwbBZFjjGgGUA6NLw09EwE0CqkOc4q9oUmW1yo/edit?usp=sharing"",""กำแพงเพชร!I509"")"),0)</f>
        <v>0</v>
      </c>
      <c r="J614" s="197">
        <f ca="1">IFERROR(__xludf.DUMMYFUNCTION("IMPORTRANGE(""https://docs.google.com/spreadsheets/d/11923uPwbBZFjjGgGUA6NLw09EwE0CqkOc4q9oUmW1yo/edit?usp=sharing"",""กำแพงเพชร!J509"")"),0)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IFERROR(__xludf.DUMMYFUNCTION("IMPORTRANGE(""https://docs.google.com/spreadsheets/d/11923uPwbBZFjjGgGUA6NLw09EwE0CqkOc4q9oUmW1yo/edit?usp=sharing"",""กำแพงเพชร!I510"")"),0)</f>
        <v>0</v>
      </c>
      <c r="J615" s="197">
        <f ca="1">IFERROR(__xludf.DUMMYFUNCTION("IMPORTRANGE(""https://docs.google.com/spreadsheets/d/11923uPwbBZFjjGgGUA6NLw09EwE0CqkOc4q9oUmW1yo/edit?usp=sharing"",""กำแพงเพชร!J510"")"),0)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IFERROR(__xludf.DUMMYFUNCTION("IMPORTRANGE(""https://docs.google.com/spreadsheets/d/11923uPwbBZFjjGgGUA6NLw09EwE0CqkOc4q9oUmW1yo/edit?usp=sharing"",""กำแพงเพชร!I511"")"),0)</f>
        <v>0</v>
      </c>
      <c r="J616" s="197">
        <f ca="1">IFERROR(__xludf.DUMMYFUNCTION("IMPORTRANGE(""https://docs.google.com/spreadsheets/d/11923uPwbBZFjjGgGUA6NLw09EwE0CqkOc4q9oUmW1yo/edit?usp=sharing"",""กำแพงเพชร!J511"")"),0)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IFERROR(__xludf.DUMMYFUNCTION("IMPORTRANGE(""https://docs.google.com/spreadsheets/d/11923uPwbBZFjjGgGUA6NLw09EwE0CqkOc4q9oUmW1yo/edit?usp=sharing"",""กำแพงเพชร!I512"")"),0)</f>
        <v>0</v>
      </c>
      <c r="J617" s="187">
        <f ca="1">IFERROR(__xludf.DUMMYFUNCTION("IMPORTRANGE(""https://docs.google.com/spreadsheets/d/11923uPwbBZFjjGgGUA6NLw09EwE0CqkOc4q9oUmW1yo/edit?usp=sharing"",""กำแพงเพชร!J512"")"),0)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IFERROR(__xludf.DUMMYFUNCTION("IMPORTRANGE(""https://docs.google.com/spreadsheets/d/11923uPwbBZFjjGgGUA6NLw09EwE0CqkOc4q9oUmW1yo/edit?usp=sharing"",""กำแพงเพชร!I513"")"),0)</f>
        <v>0</v>
      </c>
      <c r="J618" s="188">
        <f ca="1">IFERROR(__xludf.DUMMYFUNCTION("IMPORTRANGE(""https://docs.google.com/spreadsheets/d/11923uPwbBZFjjGgGUA6NLw09EwE0CqkOc4q9oUmW1yo/edit?usp=sharing"",""กำแพงเพชร!J513"")"),0)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IFERROR(__xludf.DUMMYFUNCTION("IMPORTRANGE(""https://docs.google.com/spreadsheets/d/11923uPwbBZFjjGgGUA6NLw09EwE0CqkOc4q9oUmW1yo/edit?usp=sharing"",""กำแพงเพชร!I514"")"),0)</f>
        <v>0</v>
      </c>
      <c r="J619" s="188">
        <f ca="1">IFERROR(__xludf.DUMMYFUNCTION("IMPORTRANGE(""https://docs.google.com/spreadsheets/d/11923uPwbBZFjjGgGUA6NLw09EwE0CqkOc4q9oUmW1yo/edit?usp=sharing"",""กำแพงเพชร!J514"")"),0)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IFERROR(__xludf.DUMMYFUNCTION("IMPORTRANGE(""https://docs.google.com/spreadsheets/d/11923uPwbBZFjjGgGUA6NLw09EwE0CqkOc4q9oUmW1yo/edit?usp=sharing"",""กำแพงเพชร!I515"")"),0)</f>
        <v>0</v>
      </c>
      <c r="J620" s="202">
        <f ca="1">IFERROR(__xludf.DUMMYFUNCTION("IMPORTRANGE(""https://docs.google.com/spreadsheets/d/11923uPwbBZFjjGgGUA6NLw09EwE0CqkOc4q9oUmW1yo/edit?usp=sharing"",""กำแพงเพชร!J515"")"),0)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IFERROR(__xludf.DUMMYFUNCTION("IMPORTRANGE(""https://docs.google.com/spreadsheets/d/11923uPwbBZFjjGgGUA6NLw09EwE0CqkOc4q9oUmW1yo/edit?usp=sharing"",""กำแพงเพชร!I516"")"),0)</f>
        <v>0</v>
      </c>
      <c r="J621" s="202">
        <f ca="1">IFERROR(__xludf.DUMMYFUNCTION("IMPORTRANGE(""https://docs.google.com/spreadsheets/d/11923uPwbBZFjjGgGUA6NLw09EwE0CqkOc4q9oUmW1yo/edit?usp=sharing"",""กำแพงเพชร!J516"")"),0)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IFERROR(__xludf.DUMMYFUNCTION("IMPORTRANGE(""https://docs.google.com/spreadsheets/d/11923uPwbBZFjjGgGUA6NLw09EwE0CqkOc4q9oUmW1yo/edit?usp=sharing"",""กำแพงเพชร!I517"")"),0)</f>
        <v>0</v>
      </c>
      <c r="J622" s="188">
        <f ca="1">IFERROR(__xludf.DUMMYFUNCTION("IMPORTRANGE(""https://docs.google.com/spreadsheets/d/11923uPwbBZFjjGgGUA6NLw09EwE0CqkOc4q9oUmW1yo/edit?usp=sharing"",""กำแพงเพชร!J517"")"),0)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IFERROR(__xludf.DUMMYFUNCTION("IMPORTRANGE(""https://docs.google.com/spreadsheets/d/11923uPwbBZFjjGgGUA6NLw09EwE0CqkOc4q9oUmW1yo/edit?usp=sharing"",""กำแพงเพชร!I518"")"),0)</f>
        <v>0</v>
      </c>
      <c r="J623" s="188">
        <f ca="1">IFERROR(__xludf.DUMMYFUNCTION("IMPORTRANGE(""https://docs.google.com/spreadsheets/d/11923uPwbBZFjjGgGUA6NLw09EwE0CqkOc4q9oUmW1yo/edit?usp=sharing"",""กำแพงเพชร!J518"")"),0)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IFERROR(__xludf.DUMMYFUNCTION("IMPORTRANGE(""https://docs.google.com/spreadsheets/d/11923uPwbBZFjjGgGUA6NLw09EwE0CqkOc4q9oUmW1yo/edit?usp=sharing"",""กำแพงเพชร!I519"")"),0)</f>
        <v>0</v>
      </c>
      <c r="J624" s="187">
        <f ca="1">IFERROR(__xludf.DUMMYFUNCTION("IMPORTRANGE(""https://docs.google.com/spreadsheets/d/11923uPwbBZFjjGgGUA6NLw09EwE0CqkOc4q9oUmW1yo/edit?usp=sharing"",""กำแพงเพชร!J519"")"),0)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IFERROR(__xludf.DUMMYFUNCTION("IMPORTRANGE(""https://docs.google.com/spreadsheets/d/11923uPwbBZFjjGgGUA6NLw09EwE0CqkOc4q9oUmW1yo/edit?usp=sharing"",""กำแพงเพชร!I520"")"),0)</f>
        <v>0</v>
      </c>
      <c r="J625" s="188">
        <f ca="1">IFERROR(__xludf.DUMMYFUNCTION("IMPORTRANGE(""https://docs.google.com/spreadsheets/d/11923uPwbBZFjjGgGUA6NLw09EwE0CqkOc4q9oUmW1yo/edit?usp=sharing"",""กำแพงเพชร!J520"")"),0)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IFERROR(__xludf.DUMMYFUNCTION("IMPORTRANGE(""https://docs.google.com/spreadsheets/d/11923uPwbBZFjjGgGUA6NLw09EwE0CqkOc4q9oUmW1yo/edit?usp=sharing"",""กำแพงเพชร!I521"")"),0)</f>
        <v>0</v>
      </c>
      <c r="J626" s="188">
        <f ca="1">IFERROR(__xludf.DUMMYFUNCTION("IMPORTRANGE(""https://docs.google.com/spreadsheets/d/11923uPwbBZFjjGgGUA6NLw09EwE0CqkOc4q9oUmW1yo/edit?usp=sharing"",""กำแพงเพชร!J521"")"),0)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IFERROR(__xludf.DUMMYFUNCTION("IMPORTRANGE(""https://docs.google.com/spreadsheets/d/11923uPwbBZFjjGgGUA6NLw09EwE0CqkOc4q9oUmW1yo/edit?usp=sharing"",""กำแพงเพชร!I523"")"),5000000)</f>
        <v>5000000</v>
      </c>
      <c r="J628" s="341">
        <f ca="1">IFERROR(__xludf.DUMMYFUNCTION("IMPORTRANGE(""https://docs.google.com/spreadsheets/d/11923uPwbBZFjjGgGUA6NLw09EwE0CqkOc4q9oUmW1yo/edit?usp=sharing"",""กำแพงเพชร!J523"")"),1963000)</f>
        <v>1963000</v>
      </c>
      <c r="K628" s="342">
        <f t="shared" ref="K628:K635" ca="1" si="129">IF(I628&gt;0,J628*100/I628,0)</f>
        <v>39.26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IFERROR(__xludf.DUMMYFUNCTION("IMPORTRANGE(""https://docs.google.com/spreadsheets/d/11923uPwbBZFjjGgGUA6NLw09EwE0CqkOc4q9oUmW1yo/edit?usp=sharing"",""กำแพงเพชร!I524"")"),161)</f>
        <v>161</v>
      </c>
      <c r="J629" s="341">
        <f ca="1">IFERROR(__xludf.DUMMYFUNCTION("IMPORTRANGE(""https://docs.google.com/spreadsheets/d/11923uPwbBZFjjGgGUA6NLw09EwE0CqkOc4q9oUmW1yo/edit?usp=sharing"",""กำแพงเพชร!J524"")"),63)</f>
        <v>63</v>
      </c>
      <c r="K629" s="342">
        <f t="shared" ca="1" si="129"/>
        <v>39.130434782608695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41">
        <f ca="1">IFERROR(__xludf.DUMMYFUNCTION("IMPORTRANGE(""https://docs.google.com/spreadsheets/d/11923uPwbBZFjjGgGUA6NLw09EwE0CqkOc4q9oUmW1yo/edit?usp=sharing"",""กำแพงเพชร!J525"")"),1089296.85)</f>
        <v>1089296.8500000001</v>
      </c>
      <c r="K630" s="342">
        <f t="shared" ca="1" si="129"/>
        <v>21.917722964094143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IFERROR(__xludf.DUMMYFUNCTION("IMPORTRANGE(""https://docs.google.com/spreadsheets/d/11923uPwbBZFjjGgGUA6NLw09EwE0CqkOc4q9oUmW1yo/edit?usp=sharing"",""กำแพงเพชร!I526"")"),126)</f>
        <v>126</v>
      </c>
      <c r="J631" s="341">
        <f ca="1">IFERROR(__xludf.DUMMYFUNCTION("IMPORTRANGE(""https://docs.google.com/spreadsheets/d/11923uPwbBZFjjGgGUA6NLw09EwE0CqkOc4q9oUmW1yo/edit?usp=sharing"",""กำแพงเพชร!J526"")"),63)</f>
        <v>63</v>
      </c>
      <c r="K631" s="342">
        <f t="shared" ca="1" si="129"/>
        <v>50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41">
        <f ca="1">IFERROR(__xludf.DUMMYFUNCTION("IMPORTRANGE(""https://docs.google.com/spreadsheets/d/11923uPwbBZFjjGgGUA6NLw09EwE0CqkOc4q9oUmW1yo/edit?usp=sharing"",""กำแพงเพชร!J527"")"),1013785.73)</f>
        <v>1013785.73</v>
      </c>
      <c r="K632" s="342">
        <f t="shared" ca="1" si="129"/>
        <v>40.208687931550195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IFERROR(__xludf.DUMMYFUNCTION("IMPORTRANGE(""https://docs.google.com/spreadsheets/d/11923uPwbBZFjjGgGUA6NLw09EwE0CqkOc4q9oUmW1yo/edit?usp=sharing"",""กำแพงเพชร!I528"")"),293)</f>
        <v>293</v>
      </c>
      <c r="J633" s="341">
        <f ca="1">IFERROR(__xludf.DUMMYFUNCTION("IMPORTRANGE(""https://docs.google.com/spreadsheets/d/11923uPwbBZFjjGgGUA6NLw09EwE0CqkOc4q9oUmW1yo/edit?usp=sharing"",""กำแพงเพชร!J528"")"),194)</f>
        <v>194</v>
      </c>
      <c r="K633" s="342">
        <f t="shared" ca="1" si="129"/>
        <v>66.211604095563146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IFERROR(__xludf.DUMMYFUNCTION("IMPORTRANGE(""https://docs.google.com/spreadsheets/d/11923uPwbBZFjjGgGUA6NLw09EwE0CqkOc4q9oUmW1yo/edit?usp=sharing"",""กำแพงเพชร!I529"")"),5000000)</f>
        <v>5000000</v>
      </c>
      <c r="J634" s="341">
        <f ca="1">IFERROR(__xludf.DUMMYFUNCTION("IMPORTRANGE(""https://docs.google.com/spreadsheets/d/11923uPwbBZFjjGgGUA6NLw09EwE0CqkOc4q9oUmW1yo/edit?usp=sharing"",""กำแพงเพชร!J529"")"),3090000)</f>
        <v>3090000</v>
      </c>
      <c r="K634" s="342">
        <f t="shared" ca="1" si="129"/>
        <v>61.8</v>
      </c>
      <c r="L634" s="342"/>
      <c r="M634" s="342"/>
      <c r="N634" s="342"/>
      <c r="O634" s="168"/>
      <c r="P634" s="168"/>
    </row>
    <row r="635" spans="1:16" ht="21.75" customHeight="1" x14ac:dyDescent="0.25">
      <c r="A635" s="557"/>
      <c r="B635" s="558"/>
      <c r="C635" s="558"/>
      <c r="D635" s="559"/>
      <c r="E635" s="560"/>
      <c r="F635" s="560"/>
      <c r="G635" s="561"/>
      <c r="H635" s="504" t="s">
        <v>37</v>
      </c>
      <c r="I635" s="505">
        <f ca="1">IFERROR(__xludf.DUMMYFUNCTION("IMPORTRANGE(""https://docs.google.com/spreadsheets/d/11923uPwbBZFjjGgGUA6NLw09EwE0CqkOc4q9oUmW1yo/edit?usp=sharing"",""กำแพงเพชร!I530"")"),164)</f>
        <v>164</v>
      </c>
      <c r="J635" s="505">
        <f ca="1">IFERROR(__xludf.DUMMYFUNCTION("IMPORTRANGE(""https://docs.google.com/spreadsheets/d/11923uPwbBZFjjGgGUA6NLw09EwE0CqkOc4q9oUmW1yo/edit?usp=sharing"",""กำแพงเพชร!J530"")"),103)</f>
        <v>103</v>
      </c>
      <c r="K635" s="487">
        <f t="shared" ca="1" si="129"/>
        <v>62.804878048780488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IFERROR(__xludf.DUMMYFUNCTION("IMPORTRANGE(""https://docs.google.com/spreadsheets/d/11923uPwbBZFjjGgGUA6NLw09EwE0CqkOc4q9oUmW1yo/edit?usp=sharing"",""กำแพงเพชร!J541"")"),0)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IFERROR(__xludf.DUMMYFUNCTION("IMPORTRANGE(""https://docs.google.com/spreadsheets/d/11923uPwbBZFjjGgGUA6NLw09EwE0CqkOc4q9oUmW1yo/edit?usp=sharing"",""กำแพงเพชร!J542"")"),0)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IFERROR(__xludf.DUMMYFUNCTION("IMPORTRANGE(""https://docs.google.com/spreadsheets/d/11923uPwbBZFjjGgGUA6NLw09EwE0CqkOc4q9oUmW1yo/edit?usp=sharing"",""กำแพงเพชร!I543"")"),0)</f>
        <v>0</v>
      </c>
      <c r="J648" s="536">
        <f ca="1">IFERROR(__xludf.DUMMYFUNCTION("IMPORTRANGE(""https://docs.google.com/spreadsheets/d/11923uPwbBZFjjGgGUA6NLw09EwE0CqkOc4q9oUmW1yo/edit?usp=sharing"",""กำแพงเพชร!J543"")"),0)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IFERROR(__xludf.DUMMYFUNCTION("IMPORTRANGE(""https://docs.google.com/spreadsheets/d/11923uPwbBZFjjGgGUA6NLw09EwE0CqkOc4q9oUmW1yo/edit?usp=sharing"",""กำแพงเพชร!L543"")"),0)</f>
        <v>0</v>
      </c>
      <c r="M648" s="521"/>
      <c r="N648" s="538">
        <f ca="1">IFERROR(__xludf.DUMMYFUNCTION("IMPORTRANGE(""https://docs.google.com/spreadsheets/d/11923uPwbBZFjjGgGUA6NLw09EwE0CqkOc4q9oUmW1yo/edit?usp=sharing"",""กำแพงเพชร!M543"")"),0)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IFERROR(__xludf.DUMMYFUNCTION("IMPORTRANGE(""https://docs.google.com/spreadsheets/d/11923uPwbBZFjjGgGUA6NLw09EwE0CqkOc4q9oUmW1yo/edit?usp=sharing"",""กำแพงเพชร!I544"")"),0)</f>
        <v>0</v>
      </c>
      <c r="J649" s="536">
        <f ca="1">IFERROR(__xludf.DUMMYFUNCTION("IMPORTRANGE(""https://docs.google.com/spreadsheets/d/11923uPwbBZFjjGgGUA6NLw09EwE0CqkOc4q9oUmW1yo/edit?usp=sharing"",""กำแพงเพชร!J544"")"),0)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IFERROR(__xludf.DUMMYFUNCTION("IMPORTRANGE(""https://docs.google.com/spreadsheets/d/11923uPwbBZFjjGgGUA6NLw09EwE0CqkOc4q9oUmW1yo/edit?usp=sharing"",""กำแพงเพชร!L544"")"),0)</f>
        <v>0</v>
      </c>
      <c r="M649" s="521"/>
      <c r="N649" s="538">
        <f ca="1">IFERROR(__xludf.DUMMYFUNCTION("IMPORTRANGE(""https://docs.google.com/spreadsheets/d/11923uPwbBZFjjGgGUA6NLw09EwE0CqkOc4q9oUmW1yo/edit?usp=sharing"",""กำแพงเพชร!M544"")"),0)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IFERROR(__xludf.DUMMYFUNCTION("IMPORTRANGE(""https://docs.google.com/spreadsheets/d/11923uPwbBZFjjGgGUA6NLw09EwE0CqkOc4q9oUmW1yo/edit?usp=sharing"",""กำแพงเพชร!I545"")"),0)</f>
        <v>0</v>
      </c>
      <c r="J650" s="536">
        <f ca="1">IFERROR(__xludf.DUMMYFUNCTION("IMPORTRANGE(""https://docs.google.com/spreadsheets/d/11923uPwbBZFjjGgGUA6NLw09EwE0CqkOc4q9oUmW1yo/edit?usp=sharing"",""กำแพงเพชร!J545"")"),0)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IFERROR(__xludf.DUMMYFUNCTION("IMPORTRANGE(""https://docs.google.com/spreadsheets/d/11923uPwbBZFjjGgGUA6NLw09EwE0CqkOc4q9oUmW1yo/edit?usp=sharing"",""กำแพงเพชร!L545"")"),0)</f>
        <v>0</v>
      </c>
      <c r="M650" s="521"/>
      <c r="N650" s="538">
        <f ca="1">IFERROR(__xludf.DUMMYFUNCTION("IMPORTRANGE(""https://docs.google.com/spreadsheets/d/11923uPwbBZFjjGgGUA6NLw09EwE0CqkOc4q9oUmW1yo/edit?usp=sharing"",""กำแพงเพชร!M545"")"),0)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IFERROR(__xludf.DUMMYFUNCTION("IMPORTRANGE(""https://docs.google.com/spreadsheets/d/11923uPwbBZFjjGgGUA6NLw09EwE0CqkOc4q9oUmW1yo/edit?usp=sharing"",""กำแพงเพชร!I546"")"),0)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IFERROR(__xludf.DUMMYFUNCTION("IMPORTRANGE(""https://docs.google.com/spreadsheets/d/11923uPwbBZFjjGgGUA6NLw09EwE0CqkOc4q9oUmW1yo/edit?usp=sharing"",""กำแพงเพชร!L546"")"),0)</f>
        <v>0</v>
      </c>
      <c r="M651" s="521"/>
      <c r="N651" s="538">
        <f ca="1">IFERROR(__xludf.DUMMYFUNCTION("IMPORTRANGE(""https://docs.google.com/spreadsheets/d/11923uPwbBZFjjGgGUA6NLw09EwE0CqkOc4q9oUmW1yo/edit?usp=sharing"",""กำแพงเพชร!M546"")"),0)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IFERROR(__xludf.DUMMYFUNCTION("IMPORTRANGE(""https://docs.google.com/spreadsheets/d/11923uPwbBZFjjGgGUA6NLw09EwE0CqkOc4q9oUmW1yo/edit?usp=sharing"",""กำแพงเพชร!J547"")"),0)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IFERROR(__xludf.DUMMYFUNCTION("IMPORTRANGE(""https://docs.google.com/spreadsheets/d/11923uPwbBZFjjGgGUA6NLw09EwE0CqkOc4q9oUmW1yo/edit?usp=sharing"",""กำแพงเพชร!J548"")"),0)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IFERROR(__xludf.DUMMYFUNCTION("IMPORTRANGE(""https://docs.google.com/spreadsheets/d/11923uPwbBZFjjGgGUA6NLw09EwE0CqkOc4q9oUmW1yo/edit?usp=sharing"",""กำแพงเพชร!J550"")"),0)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IFERROR(__xludf.DUMMYFUNCTION("IMPORTRANGE(""https://docs.google.com/spreadsheets/d/11923uPwbBZFjjGgGUA6NLw09EwE0CqkOc4q9oUmW1yo/edit?usp=sharing"",""กำแพงเพชร!J551"")"),0)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IFERROR(__xludf.DUMMYFUNCTION("IMPORTRANGE(""https://docs.google.com/spreadsheets/d/11923uPwbBZFjjGgGUA6NLw09EwE0CqkOc4q9oUmW1yo/edit?usp=sharing"",""กำแพงเพชร!J552"")"),0)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IFERROR(__xludf.DUMMYFUNCTION("IMPORTRANGE(""https://docs.google.com/spreadsheets/d/11923uPwbBZFjjGgGUA6NLw09EwE0CqkOc4q9oUmW1yo/edit?usp=sharing"",""กำแพงเพชร!J553"")"),0)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IFERROR(__xludf.DUMMYFUNCTION("IMPORTRANGE(""https://docs.google.com/spreadsheets/d/11923uPwbBZFjjGgGUA6NLw09EwE0CqkOc4q9oUmW1yo/edit?usp=sharing"",""กำแพงเพชร!J554"")"),0)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IFERROR(__xludf.DUMMYFUNCTION("IMPORTRANGE(""https://docs.google.com/spreadsheets/d/11923uPwbBZFjjGgGUA6NLw09EwE0CqkOc4q9oUmW1yo/edit?usp=sharing"",""กำแพงเพชร!J555"")"),0)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IFERROR(__xludf.DUMMYFUNCTION("IMPORTRANGE(""https://docs.google.com/spreadsheets/d/11923uPwbBZFjjGgGUA6NLw09EwE0CqkOc4q9oUmW1yo/edit?usp=sharing"",""กำแพงเพชร!J556"")"),0)</f>
        <v>0</v>
      </c>
      <c r="K661" s="537"/>
      <c r="L661" s="522">
        <f ca="1">IFERROR(__xludf.DUMMYFUNCTION("IMPORTRANGE(""https://docs.google.com/spreadsheets/d/11923uPwbBZFjjGgGUA6NLw09EwE0CqkOc4q9oUmW1yo/edit?usp=sharing"",""กำแพงเพชร!L556"")"),0)</f>
        <v>0</v>
      </c>
      <c r="M661" s="521"/>
      <c r="N661" s="538">
        <f ca="1">IFERROR(__xludf.DUMMYFUNCTION("IMPORTRANGE(""https://docs.google.com/spreadsheets/d/11923uPwbBZFjjGgGUA6NLw09EwE0CqkOc4q9oUmW1yo/edit?usp=sharing"",""กำแพงเพชร!M556"")"),0)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IFERROR(__xludf.DUMMYFUNCTION("IMPORTRANGE(""https://docs.google.com/spreadsheets/d/11923uPwbBZFjjGgGUA6NLw09EwE0CqkOc4q9oUmW1yo/edit?usp=sharing"",""กำแพงเพชร!J557"")"),0)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IFERROR(__xludf.DUMMYFUNCTION("IMPORTRANGE(""https://docs.google.com/spreadsheets/d/11923uPwbBZFjjGgGUA6NLw09EwE0CqkOc4q9oUmW1yo/edit?usp=sharing"",""กำแพงเพชร!I558"")"),0)</f>
        <v>0</v>
      </c>
      <c r="J663" s="536">
        <f ca="1">IFERROR(__xludf.DUMMYFUNCTION("IMPORTRANGE(""https://docs.google.com/spreadsheets/d/11923uPwbBZFjjGgGUA6NLw09EwE0CqkOc4q9oUmW1yo/edit?usp=sharing"",""กำแพงเพชร!J558"")"),0)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IFERROR(__xludf.DUMMYFUNCTION("IMPORTRANGE(""https://docs.google.com/spreadsheets/d/11923uPwbBZFjjGgGUA6NLw09EwE0CqkOc4q9oUmW1yo/edit?usp=sharing"",""กำแพงเพชร!I560"")"),0)</f>
        <v>0</v>
      </c>
      <c r="J665" s="536">
        <f ca="1">IFERROR(__xludf.DUMMYFUNCTION("IMPORTRANGE(""https://docs.google.com/spreadsheets/d/11923uPwbBZFjjGgGUA6NLw09EwE0CqkOc4q9oUmW1yo/edit?usp=sharing"",""กำแพงเพชร!J560"")"),0)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IFERROR(__xludf.DUMMYFUNCTION("IMPORTRANGE(""https://docs.google.com/spreadsheets/d/11923uPwbBZFjjGgGUA6NLw09EwE0CqkOc4q9oUmW1yo/edit?usp=sharing"",""กำแพงเพชร!L560"")"),0)</f>
        <v>0</v>
      </c>
      <c r="M665" s="521"/>
      <c r="N665" s="538">
        <f ca="1">IFERROR(__xludf.DUMMYFUNCTION("IMPORTRANGE(""https://docs.google.com/spreadsheets/d/11923uPwbBZFjjGgGUA6NLw09EwE0CqkOc4q9oUmW1yo/edit?usp=sharing"",""กำแพงเพชร!M560"")"),0)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IFERROR(__xludf.DUMMYFUNCTION("IMPORTRANGE(""https://docs.google.com/spreadsheets/d/11923uPwbBZFjjGgGUA6NLw09EwE0CqkOc4q9oUmW1yo/edit?usp=sharing"",""กำแพงเพชร!J561"")"),0)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IFERROR(__xludf.DUMMYFUNCTION("IMPORTRANGE(""https://docs.google.com/spreadsheets/d/11923uPwbBZFjjGgGUA6NLw09EwE0CqkOc4q9oUmW1yo/edit?usp=sharing"",""กำแพงเพชร!J562"")"),0)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IFERROR(__xludf.DUMMYFUNCTION("IMPORTRANGE(""https://docs.google.com/spreadsheets/d/11923uPwbBZFjjGgGUA6NLw09EwE0CqkOc4q9oUmW1yo/edit?usp=sharing"",""กำแพงเพชร!I563"")"),0)</f>
        <v>0</v>
      </c>
      <c r="J668" s="536">
        <f ca="1">IFERROR(__xludf.DUMMYFUNCTION("IMPORTRANGE(""https://docs.google.com/spreadsheets/d/11923uPwbBZFjjGgGUA6NLw09EwE0CqkOc4q9oUmW1yo/edit?usp=sharing"",""กำแพงเพชร!J563"")"),0)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IFERROR(__xludf.DUMMYFUNCTION("IMPORTRANGE(""https://docs.google.com/spreadsheets/d/11923uPwbBZFjjGgGUA6NLw09EwE0CqkOc4q9oUmW1yo/edit?usp=sharing"",""กำแพงเพชร!L563"")"),0)</f>
        <v>0</v>
      </c>
      <c r="M668" s="521"/>
      <c r="N668" s="538">
        <f ca="1">IFERROR(__xludf.DUMMYFUNCTION("IMPORTRANGE(""https://docs.google.com/spreadsheets/d/11923uPwbBZFjjGgGUA6NLw09EwE0CqkOc4q9oUmW1yo/edit?usp=sharing"",""กำแพงเพชร!M563"")"),0)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IFERROR(__xludf.DUMMYFUNCTION("IMPORTRANGE(""https://docs.google.com/spreadsheets/d/11923uPwbBZFjjGgGUA6NLw09EwE0CqkOc4q9oUmW1yo/edit?usp=sharing"",""กำแพงเพชร!J564"")"),0)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IFERROR(__xludf.DUMMYFUNCTION("IMPORTRANGE(""https://docs.google.com/spreadsheets/d/11923uPwbBZFjjGgGUA6NLw09EwE0CqkOc4q9oUmW1yo/edit?usp=sharing"",""กำแพงเพชร!J565"")"),0)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IFERROR(__xludf.DUMMYFUNCTION("IMPORTRANGE(""https://docs.google.com/spreadsheets/d/11923uPwbBZFjjGgGUA6NLw09EwE0CqkOc4q9oUmW1yo/edit?usp=sharing"",""กำแพงเพชร!I566"")"),0)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IFERROR(__xludf.DUMMYFUNCTION("IMPORTRANGE(""https://docs.google.com/spreadsheets/d/11923uPwbBZFjjGgGUA6NLw09EwE0CqkOc4q9oUmW1yo/edit?usp=sharing"",""กำแพงเพชร!L566"")"),0)</f>
        <v>0</v>
      </c>
      <c r="M671" s="521"/>
      <c r="N671" s="538">
        <f ca="1">IFERROR(__xludf.DUMMYFUNCTION("IMPORTRANGE(""https://docs.google.com/spreadsheets/d/11923uPwbBZFjjGgGUA6NLw09EwE0CqkOc4q9oUmW1yo/edit?usp=sharing"",""กำแพงเพชร!M566"")"),0)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IFERROR(__xludf.DUMMYFUNCTION("IMPORTRANGE(""https://docs.google.com/spreadsheets/d/11923uPwbBZFjjGgGUA6NLw09EwE0CqkOc4q9oUmW1yo/edit?usp=sharing"",""กำแพงเพชร!J567"")"),0)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IFERROR(__xludf.DUMMYFUNCTION("IMPORTRANGE(""https://docs.google.com/spreadsheets/d/11923uPwbBZFjjGgGUA6NLw09EwE0CqkOc4q9oUmW1yo/edit?usp=sharing"",""กำแพงเพชร!J568"")"),0)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IFERROR(__xludf.DUMMYFUNCTION("IMPORTRANGE(""https://docs.google.com/spreadsheets/d/11923uPwbBZFjjGgGUA6NLw09EwE0CqkOc4q9oUmW1yo/edit?usp=sharing"",""กำแพงเพชร!J569"")"),0)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IFERROR(__xludf.DUMMYFUNCTION("IMPORTRANGE(""https://docs.google.com/spreadsheets/d/11923uPwbBZFjjGgGUA6NLw09EwE0CqkOc4q9oUmW1yo/edit?usp=sharing"",""กำแพงเพชร!J570"")"),0)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IFERROR(__xludf.DUMMYFUNCTION("IMPORTRANGE(""https://docs.google.com/spreadsheets/d/11923uPwbBZFjjGgGUA6NLw09EwE0CqkOc4q9oUmW1yo/edit?usp=sharing"",""กำแพงเพชร!J571"")"),0)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IFERROR(__xludf.DUMMYFUNCTION("IMPORTRANGE(""https://docs.google.com/spreadsheets/d/11923uPwbBZFjjGgGUA6NLw09EwE0CqkOc4q9oUmW1yo/edit?usp=sharing"",""กำแพงเพชร!J572"")"),0)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A3:P3"/>
    <mergeCell ref="A2:P2"/>
    <mergeCell ref="A1:P1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7104559</v>
      </c>
      <c r="M8" s="23">
        <f t="shared" ca="1" si="0"/>
        <v>4789411</v>
      </c>
      <c r="N8" s="23">
        <f t="shared" ca="1" si="0"/>
        <v>4882152.18</v>
      </c>
      <c r="O8" s="22">
        <f t="shared" ref="O8:O16" ca="1" si="1">IF(L8&gt;0,N8*100/L8,0)</f>
        <v>68.718581688180791</v>
      </c>
      <c r="P8" s="22">
        <f t="shared" ref="P8:P16" ca="1" si="2">IF(M8&gt;0,N8*100/M8,0)</f>
        <v>101.93637965085895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7104559</v>
      </c>
      <c r="M10" s="30">
        <f t="shared" ca="1" si="4"/>
        <v>4789411</v>
      </c>
      <c r="N10" s="30">
        <f t="shared" ca="1" si="4"/>
        <v>4882152.18</v>
      </c>
      <c r="O10" s="29">
        <f t="shared" ca="1" si="1"/>
        <v>68.718581688180791</v>
      </c>
      <c r="P10" s="29">
        <f t="shared" ca="1" si="2"/>
        <v>101.93637965085895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6919759</v>
      </c>
      <c r="M12" s="39">
        <f t="shared" ca="1" si="6"/>
        <v>4604611</v>
      </c>
      <c r="N12" s="39">
        <f t="shared" ca="1" si="6"/>
        <v>4697352.18</v>
      </c>
      <c r="O12" s="39">
        <f t="shared" ca="1" si="1"/>
        <v>67.883175989221584</v>
      </c>
      <c r="P12" s="39">
        <f t="shared" ca="1" si="2"/>
        <v>102.01409369868595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2745700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4174059</v>
      </c>
      <c r="M14" s="39">
        <f t="shared" si="8"/>
        <v>0</v>
      </c>
      <c r="N14" s="39">
        <f t="shared" ca="1" si="8"/>
        <v>1267653.5399999998</v>
      </c>
      <c r="O14" s="39">
        <f t="shared" ca="1" si="1"/>
        <v>30.369804068413981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184800</v>
      </c>
      <c r="M16" s="39">
        <f t="shared" ca="1" si="10"/>
        <v>184800</v>
      </c>
      <c r="N16" s="39">
        <f t="shared" ca="1" si="10"/>
        <v>184800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4633740</v>
      </c>
      <c r="M18" s="23">
        <f t="shared" ca="1" si="11"/>
        <v>4789411</v>
      </c>
      <c r="N18" s="23">
        <f t="shared" ca="1" si="11"/>
        <v>3614498.6399999997</v>
      </c>
      <c r="O18" s="22">
        <f t="shared" ref="O18:O20" ca="1" si="12">IF(L18&gt;0,N18*100/L18,0)</f>
        <v>78.003915627549219</v>
      </c>
      <c r="P18" s="22">
        <f t="shared" ref="P18:P26" ca="1" si="13">IF(M18&gt;0,N18*100/M18,0)</f>
        <v>75.468541747617806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4633740</v>
      </c>
      <c r="M20" s="30">
        <f t="shared" ca="1" si="15"/>
        <v>4789411</v>
      </c>
      <c r="N20" s="30">
        <f t="shared" ca="1" si="15"/>
        <v>3614498.6399999997</v>
      </c>
      <c r="O20" s="29">
        <f t="shared" ca="1" si="12"/>
        <v>78.003915627549219</v>
      </c>
      <c r="P20" s="29">
        <f t="shared" ca="1" si="13"/>
        <v>75.468541747617806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4448940</v>
      </c>
      <c r="M22" s="42">
        <f t="shared" ca="1" si="18"/>
        <v>4604611</v>
      </c>
      <c r="N22" s="39">
        <f t="shared" ca="1" si="18"/>
        <v>3429698.6399999997</v>
      </c>
      <c r="O22" s="39">
        <f t="shared" ca="1" si="17"/>
        <v>77.090242619590271</v>
      </c>
      <c r="P22" s="39">
        <f t="shared" ca="1" si="13"/>
        <v>74.484003969064915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2745700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1703240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184800</v>
      </c>
      <c r="M26" s="50">
        <f t="shared" ca="1" si="22"/>
        <v>184800</v>
      </c>
      <c r="N26" s="50">
        <f t="shared" ca="1" si="22"/>
        <v>184800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2470819</v>
      </c>
      <c r="M28" s="23">
        <f t="shared" si="23"/>
        <v>0</v>
      </c>
      <c r="N28" s="23">
        <f t="shared" ca="1" si="23"/>
        <v>1267653.5399999998</v>
      </c>
      <c r="O28" s="22">
        <f t="shared" ref="O28:O30" ca="1" si="24">IF(L28&gt;0,N28*100/L28,0)</f>
        <v>51.30499401210691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2470819</v>
      </c>
      <c r="M30" s="30">
        <f t="shared" si="27"/>
        <v>0</v>
      </c>
      <c r="N30" s="30">
        <f t="shared" ca="1" si="27"/>
        <v>1267653.5399999998</v>
      </c>
      <c r="O30" s="29">
        <f t="shared" ca="1" si="24"/>
        <v>51.30499401210691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2470819</v>
      </c>
      <c r="M32" s="39">
        <f t="shared" si="30"/>
        <v>0</v>
      </c>
      <c r="N32" s="39">
        <f t="shared" ca="1" si="30"/>
        <v>1267653.5399999998</v>
      </c>
      <c r="O32" s="39">
        <f t="shared" ca="1" si="29"/>
        <v>51.30499401210691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2470819</v>
      </c>
      <c r="M34" s="39">
        <f t="shared" si="32"/>
        <v>0</v>
      </c>
      <c r="N34" s="39">
        <f t="shared" ca="1" si="32"/>
        <v>1267653.5399999998</v>
      </c>
      <c r="O34" s="39">
        <f t="shared" ca="1" si="29"/>
        <v>51.30499401210691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4633740</v>
      </c>
      <c r="M37" s="55">
        <f t="shared" ca="1" si="33"/>
        <v>4789411</v>
      </c>
      <c r="N37" s="55">
        <f t="shared" ca="1" si="33"/>
        <v>3614498.6399999997</v>
      </c>
      <c r="O37" s="56">
        <f t="shared" ca="1" si="29"/>
        <v>78.003915627549219</v>
      </c>
      <c r="P37" s="56">
        <f t="shared" ca="1" si="25"/>
        <v>75.468541747617806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750700</v>
      </c>
      <c r="M41" s="79">
        <f t="shared" ca="1" si="34"/>
        <v>750700</v>
      </c>
      <c r="N41" s="79">
        <f t="shared" ca="1" si="34"/>
        <v>627078.12</v>
      </c>
      <c r="O41" s="78">
        <f t="shared" ref="O41:O43" ca="1" si="35">IF(L41&gt;0,N41*100/L41,0)</f>
        <v>83.532452377780743</v>
      </c>
      <c r="P41" s="78">
        <f t="shared" ref="P41:P43" ca="1" si="36">IF(M41&gt;0,N41*100/M41,0)</f>
        <v>83.532452377780743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750700</v>
      </c>
      <c r="M43" s="79">
        <f t="shared" ca="1" si="38"/>
        <v>750700</v>
      </c>
      <c r="N43" s="79">
        <f t="shared" ca="1" si="38"/>
        <v>627078.12</v>
      </c>
      <c r="O43" s="78">
        <f t="shared" ca="1" si="35"/>
        <v>83.532452377780743</v>
      </c>
      <c r="P43" s="78">
        <f t="shared" ca="1" si="36"/>
        <v>83.532452377780743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750700</v>
      </c>
      <c r="M45" s="50">
        <f ca="1">IFERROR(__xludf.DUMMYFUNCTION("IMPORTRANGE(""https://docs.google.com/spreadsheets/d/1Yj_ptqi66GCucihVvJfMjLAmec39IyEx_6qawtMGysU/edit?usp=sharing"",""สบก!Q21"")"),750700)</f>
        <v>750700</v>
      </c>
      <c r="N45" s="50">
        <f ca="1">IFERROR(__xludf.DUMMYFUNCTION("IMPORTRANGE(""https://docs.google.com/spreadsheets/d/1Yj_ptqi66GCucihVvJfMjLAmec39IyEx_6qawtMGysU/edit?usp=sharing"",""สบก!R21"")"),627078.12)</f>
        <v>627078.12</v>
      </c>
      <c r="O45" s="39">
        <f ca="1">IF(L45&gt;0,N45*100/L45,0)</f>
        <v>83.532452377780743</v>
      </c>
      <c r="P45" s="39">
        <f ca="1">IF(M45&gt;0,N45*100/M45,0)</f>
        <v>83.532452377780743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IFERROR(__xludf.DUMMYFUNCTION("IMPORTRANGE(""https://docs.google.com/spreadsheets/d/1Yj_ptqi66GCucihVvJfMjLAmec39IyEx_6qawtMGysU/edit?usp=sharing"",""สบก!M21"")"),750700)</f>
        <v>750700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IFERROR(__xludf.DUMMYFUNCTION("IMPORTRANGE(""https://docs.google.com/spreadsheets/d/1Yj_ptqi66GCucihVvJfMjLAmec39IyEx_6qawtMGysU/edit?usp=sharing"",""สบก!N21"")"),0)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IFERROR(__xludf.DUMMYFUNCTION("IMPORTRANGE(""https://docs.google.com/spreadsheets/d/1Yj_ptqi66GCucihVvJfMjLAmec39IyEx_6qawtMGysU/edit?usp=sharing"",""สบก!O21"")"),0)</f>
        <v>0</v>
      </c>
      <c r="M49" s="50"/>
      <c r="N49" s="50">
        <f ca="1">IFERROR(__xludf.DUMMYFUNCTION("IMPORTRANGE(""https://docs.google.com/spreadsheets/d/1Yj_ptqi66GCucihVvJfMjLAmec39IyEx_6qawtMGysU/edit?usp=sharing"",""สบก!S21"")"),0)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700000</v>
      </c>
      <c r="M53" s="121">
        <f t="shared" ca="1" si="39"/>
        <v>726696</v>
      </c>
      <c r="N53" s="121">
        <f t="shared" ca="1" si="39"/>
        <v>559272.39</v>
      </c>
      <c r="O53" s="120">
        <f t="shared" ref="O53:O55" ca="1" si="40">IF(L53&gt;0,N53*100/L53,0)</f>
        <v>79.896055714285708</v>
      </c>
      <c r="P53" s="120">
        <f t="shared" ref="P53:P55" ca="1" si="41">IF(M53&gt;0,N53*100/M53,0)</f>
        <v>76.96098368506226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700000</v>
      </c>
      <c r="M55" s="121">
        <f t="shared" ca="1" si="43"/>
        <v>726696</v>
      </c>
      <c r="N55" s="121">
        <f t="shared" ca="1" si="43"/>
        <v>559272.39</v>
      </c>
      <c r="O55" s="120">
        <f t="shared" ca="1" si="40"/>
        <v>79.896055714285708</v>
      </c>
      <c r="P55" s="120">
        <f t="shared" ca="1" si="41"/>
        <v>76.96098368506226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700000</v>
      </c>
      <c r="M57" s="50">
        <f ca="1">IFERROR(__xludf.DUMMYFUNCTION("IMPORTRANGE(""https://docs.google.com/spreadsheets/d/1Yj_ptqi66GCucihVvJfMjLAmec39IyEx_6qawtMGysU/edit?usp=sharing"",""สบก!Z21"")"),726696)</f>
        <v>726696</v>
      </c>
      <c r="N57" s="50">
        <f ca="1">IFERROR(__xludf.DUMMYFUNCTION("IMPORTRANGE(""https://docs.google.com/spreadsheets/d/1Yj_ptqi66GCucihVvJfMjLAmec39IyEx_6qawtMGysU/edit?usp=sharing"",""สบก!AA21"")"),559272.39)</f>
        <v>559272.39</v>
      </c>
      <c r="O57" s="39">
        <f ca="1">IF(L57&gt;0,N57*100/L57,0)</f>
        <v>79.896055714285708</v>
      </c>
      <c r="P57" s="39">
        <f ca="1">IF(M57&gt;0,N57*100/M57,0)</f>
        <v>76.96098368506226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IFERROR(__xludf.DUMMYFUNCTION("IMPORTRANGE(""https://docs.google.com/spreadsheets/d/1Yj_ptqi66GCucihVvJfMjLAmec39IyEx_6qawtMGysU/edit?usp=sharing"",""สบก!V21"")"),700000)</f>
        <v>700000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IFERROR(__xludf.DUMMYFUNCTION("IMPORTRANGE(""https://docs.google.com/spreadsheets/d/1Yj_ptqi66GCucihVvJfMjLAmec39IyEx_6qawtMGysU/edit?usp=sharing"",""สบก!W21"")"),0)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IFERROR(__xludf.DUMMYFUNCTION("IMPORTRANGE(""https://docs.google.com/spreadsheets/d/1Yj_ptqi66GCucihVvJfMjLAmec39IyEx_6qawtMGysU/edit?usp=sharing"",""สบก!X21"")"),0)</f>
        <v>0</v>
      </c>
      <c r="M61" s="50"/>
      <c r="N61" s="50">
        <f ca="1">IFERROR(__xludf.DUMMYFUNCTION("IMPORTRANGE(""https://docs.google.com/spreadsheets/d/1Yj_ptqi66GCucihVvJfMjLAmec39IyEx_6qawtMGysU/edit?usp=sharing"",""สบก!AB21"")"),0)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IFERROR(__xludf.DUMMYFUNCTION("IMPORTRANGE(""https://docs.google.com/spreadsheets/d/11923uPwbBZFjjGgGUA6NLw09EwE0CqkOc4q9oUmW1yo/edit?usp=sharing"",""เชียงราย!I9"")"),1)</f>
        <v>1</v>
      </c>
      <c r="J64" s="142">
        <f ca="1">IFERROR(__xludf.DUMMYFUNCTION("IMPORTRANGE(""https://docs.google.com/spreadsheets/d/11923uPwbBZFjjGgGUA6NLw09EwE0CqkOc4q9oUmW1yo/edit?usp=sharing"",""เชียงราย!J9"")"),1)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IFERROR(__xludf.DUMMYFUNCTION("IMPORTRANGE(""https://docs.google.com/spreadsheets/d/11923uPwbBZFjjGgGUA6NLw09EwE0CqkOc4q9oUmW1yo/edit?usp=sharing"",""เชียงราย!I10"")"),60)</f>
        <v>60</v>
      </c>
      <c r="J65" s="142">
        <f ca="1">IFERROR(__xludf.DUMMYFUNCTION("IMPORTRANGE(""https://docs.google.com/spreadsheets/d/11923uPwbBZFjjGgGUA6NLw09EwE0CqkOc4q9oUmW1yo/edit?usp=sharing"",""เชียงราย!J10"")"),60)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548000</v>
      </c>
      <c r="M66" s="152">
        <f t="shared" ca="1" si="45"/>
        <v>584720</v>
      </c>
      <c r="N66" s="152">
        <f t="shared" ca="1" si="45"/>
        <v>481135</v>
      </c>
      <c r="O66" s="151">
        <f t="shared" ref="O66:O68" ca="1" si="46">IF(L66&gt;0,N66*100/L66,0)</f>
        <v>87.798357664233578</v>
      </c>
      <c r="P66" s="151">
        <f t="shared" ref="P66:P68" ca="1" si="47">IF(M66&gt;0,N66*100/M66,0)</f>
        <v>82.284683267204812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548000</v>
      </c>
      <c r="M68" s="88">
        <f t="shared" ca="1" si="49"/>
        <v>584720</v>
      </c>
      <c r="N68" s="88">
        <f t="shared" ca="1" si="49"/>
        <v>481135</v>
      </c>
      <c r="O68" s="156">
        <f t="shared" ca="1" si="46"/>
        <v>87.798357664233578</v>
      </c>
      <c r="P68" s="156">
        <f t="shared" ca="1" si="47"/>
        <v>82.284683267204812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548000</v>
      </c>
      <c r="M70" s="167">
        <f ca="1">IFERROR(__xludf.DUMMYFUNCTION("IMPORTRANGE(""https://docs.google.com/spreadsheets/d/1Yj_ptqi66GCucihVvJfMjLAmec39IyEx_6qawtMGysU/edit?usp=sharing"",""สบก!AI21"")"),584720)</f>
        <v>584720</v>
      </c>
      <c r="N70" s="168">
        <f ca="1">IFERROR(__xludf.DUMMYFUNCTION("IMPORTRANGE(""https://docs.google.com/spreadsheets/d/1Yj_ptqi66GCucihVvJfMjLAmec39IyEx_6qawtMGysU/edit?usp=sharing"",""สบก!AJ21"")"),481135)</f>
        <v>481135</v>
      </c>
      <c r="O70" s="168">
        <f ca="1">IF(L70&gt;0,N70*100/L70,0)</f>
        <v>87.798357664233578</v>
      </c>
      <c r="P70" s="168">
        <f ca="1">IF(M70&gt;0,N70*100/M70,0)</f>
        <v>82.284683267204812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IFERROR(__xludf.DUMMYFUNCTION("IMPORTRANGE(""https://docs.google.com/spreadsheets/d/1Yj_ptqi66GCucihVvJfMjLAmec39IyEx_6qawtMGysU/edit?usp=sharing"",""สบก!AE21"")"),0)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IFERROR(__xludf.DUMMYFUNCTION("IMPORTRANGE(""https://docs.google.com/spreadsheets/d/1Yj_ptqi66GCucihVvJfMjLAmec39IyEx_6qawtMGysU/edit?usp=sharing"",""สบก!AF21"")"),548000)</f>
        <v>548000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IFERROR(__xludf.DUMMYFUNCTION("IMPORTRANGE(""https://docs.google.com/spreadsheets/d/1Yj_ptqi66GCucihVvJfMjLAmec39IyEx_6qawtMGysU/edit?usp=sharing"",""สบก!AG21"")"),0)</f>
        <v>0</v>
      </c>
      <c r="M74" s="50"/>
      <c r="N74" s="50">
        <f ca="1">IFERROR(__xludf.DUMMYFUNCTION("IMPORTRANGE(""https://docs.google.com/spreadsheets/d/1Yj_ptqi66GCucihVvJfMjLAmec39IyEx_6qawtMGysU/edit?usp=sharing"",""สบก!AK21"")"),0)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IFERROR(__xludf.DUMMYFUNCTION("IMPORTRANGE(""https://docs.google.com/spreadsheets/d/11923uPwbBZFjjGgGUA6NLw09EwE0CqkOc4q9oUmW1yo/edit?usp=sharing"",""เชียงราย!J16"")"),0)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IFERROR(__xludf.DUMMYFUNCTION("IMPORTRANGE(""https://docs.google.com/spreadsheets/d/11923uPwbBZFjjGgGUA6NLw09EwE0CqkOc4q9oUmW1yo/edit?usp=sharing"",""เชียงราย!J17"")"),1)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IFERROR(__xludf.DUMMYFUNCTION("IMPORTRANGE(""https://docs.google.com/spreadsheets/d/11923uPwbBZFjjGgGUA6NLw09EwE0CqkOc4q9oUmW1yo/edit?usp=sharing"",""เชียงราย!J18"")"),1)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IFERROR(__xludf.DUMMYFUNCTION("IMPORTRANGE(""https://docs.google.com/spreadsheets/d/11923uPwbBZFjjGgGUA6NLw09EwE0CqkOc4q9oUmW1yo/edit?usp=sharing"",""เชียงราย!J19"")"),1)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IFERROR(__xludf.DUMMYFUNCTION("IMPORTRANGE(""https://docs.google.com/spreadsheets/d/11923uPwbBZFjjGgGUA6NLw09EwE0CqkOc4q9oUmW1yo/edit?usp=sharing"",""เชียงราย!I20"")"),1)</f>
        <v>1</v>
      </c>
      <c r="J80" s="200">
        <f ca="1">IFERROR(__xludf.DUMMYFUNCTION("IMPORTRANGE(""https://docs.google.com/spreadsheets/d/11923uPwbBZFjjGgGUA6NLw09EwE0CqkOc4q9oUmW1yo/edit?usp=sharing"",""เชียงราย!J20"")"),1)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IFERROR(__xludf.DUMMYFUNCTION("IMPORTRANGE(""https://docs.google.com/spreadsheets/d/11923uPwbBZFjjGgGUA6NLw09EwE0CqkOc4q9oUmW1yo/edit?usp=sharing"",""เชียงราย!I21"")"),60)</f>
        <v>60</v>
      </c>
      <c r="J81" s="200">
        <f ca="1">IFERROR(__xludf.DUMMYFUNCTION("IMPORTRANGE(""https://docs.google.com/spreadsheets/d/11923uPwbBZFjjGgGUA6NLw09EwE0CqkOc4q9oUmW1yo/edit?usp=sharing"",""เชียงราย!J21"")"),60)</f>
        <v>60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IFERROR(__xludf.DUMMYFUNCTION("IMPORTRANGE(""https://docs.google.com/spreadsheets/d/11923uPwbBZFjjGgGUA6NLw09EwE0CqkOc4q9oUmW1yo/edit?usp=sharing"",""เชียงราย!I22"")"),1)</f>
        <v>1</v>
      </c>
      <c r="J82" s="203">
        <f ca="1">IFERROR(__xludf.DUMMYFUNCTION("IMPORTRANGE(""https://docs.google.com/spreadsheets/d/11923uPwbBZFjjGgGUA6NLw09EwE0CqkOc4q9oUmW1yo/edit?usp=sharing"",""เชียงราย!J22"")"),1)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IFERROR(__xludf.DUMMYFUNCTION("IMPORTRANGE(""https://docs.google.com/spreadsheets/d/11923uPwbBZFjjGgGUA6NLw09EwE0CqkOc4q9oUmW1yo/edit?usp=sharing"",""เชียงราย!I23"")"),60)</f>
        <v>60</v>
      </c>
      <c r="J83" s="203">
        <f ca="1">IFERROR(__xludf.DUMMYFUNCTION("IMPORTRANGE(""https://docs.google.com/spreadsheets/d/11923uPwbBZFjjGgGUA6NLw09EwE0CqkOc4q9oUmW1yo/edit?usp=sharing"",""เชียงราย!J23"")"),60)</f>
        <v>60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IFERROR(__xludf.DUMMYFUNCTION("IMPORTRANGE(""https://docs.google.com/spreadsheets/d/11923uPwbBZFjjGgGUA6NLw09EwE0CqkOc4q9oUmW1yo/edit?usp=sharing"",""เชียงราย!I24"")"),0)</f>
        <v>0</v>
      </c>
      <c r="J84" s="188">
        <f ca="1">IFERROR(__xludf.DUMMYFUNCTION("IMPORTRANGE(""https://docs.google.com/spreadsheets/d/11923uPwbBZFjjGgGUA6NLw09EwE0CqkOc4q9oUmW1yo/edit?usp=sharing"",""เชียงราย!J24"")"),0)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IFERROR(__xludf.DUMMYFUNCTION("IMPORTRANGE(""https://docs.google.com/spreadsheets/d/11923uPwbBZFjjGgGUA6NLw09EwE0CqkOc4q9oUmW1yo/edit?usp=sharing"",""เชียงราย!I25"")"),0)</f>
        <v>0</v>
      </c>
      <c r="J85" s="188">
        <f ca="1">IFERROR(__xludf.DUMMYFUNCTION("IMPORTRANGE(""https://docs.google.com/spreadsheets/d/11923uPwbBZFjjGgGUA6NLw09EwE0CqkOc4q9oUmW1yo/edit?usp=sharing"",""เชียงราย!J25"")"),0)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IFERROR(__xludf.DUMMYFUNCTION("IMPORTRANGE(""https://docs.google.com/spreadsheets/d/11923uPwbBZFjjGgGUA6NLw09EwE0CqkOc4q9oUmW1yo/edit?usp=sharing"",""เชียงราย!I26"")"),0)</f>
        <v>0</v>
      </c>
      <c r="J86" s="203">
        <f ca="1">IFERROR(__xludf.DUMMYFUNCTION("IMPORTRANGE(""https://docs.google.com/spreadsheets/d/11923uPwbBZFjjGgGUA6NLw09EwE0CqkOc4q9oUmW1yo/edit?usp=sharing"",""เชียงราย!J26"")"),0)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IFERROR(__xludf.DUMMYFUNCTION("IMPORTRANGE(""https://docs.google.com/spreadsheets/d/11923uPwbBZFjjGgGUA6NLw09EwE0CqkOc4q9oUmW1yo/edit?usp=sharing"",""เชียงราย!I27"")"),0)</f>
        <v>0</v>
      </c>
      <c r="J87" s="203">
        <f ca="1">IFERROR(__xludf.DUMMYFUNCTION("IMPORTRANGE(""https://docs.google.com/spreadsheets/d/11923uPwbBZFjjGgGUA6NLw09EwE0CqkOc4q9oUmW1yo/edit?usp=sharing"",""เชียงราย!J27"")"),0)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IFERROR(__xludf.DUMMYFUNCTION("IMPORTRANGE(""https://docs.google.com/spreadsheets/d/11923uPwbBZFjjGgGUA6NLw09EwE0CqkOc4q9oUmW1yo/edit?usp=sharing"",""เชียงราย!I28"")"),1)</f>
        <v>1</v>
      </c>
      <c r="J88" s="203">
        <f ca="1">IFERROR(__xludf.DUMMYFUNCTION("IMPORTRANGE(""https://docs.google.com/spreadsheets/d/11923uPwbBZFjjGgGUA6NLw09EwE0CqkOc4q9oUmW1yo/edit?usp=sharing"",""เชียงราย!J28"")"),1)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IFERROR(__xludf.DUMMYFUNCTION("IMPORTRANGE(""https://docs.google.com/spreadsheets/d/11923uPwbBZFjjGgGUA6NLw09EwE0CqkOc4q9oUmW1yo/edit?usp=sharing"",""เชียงราย!J29"")"),0)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IFERROR(__xludf.DUMMYFUNCTION("IMPORTRANGE(""https://docs.google.com/spreadsheets/d/11923uPwbBZFjjGgGUA6NLw09EwE0CqkOc4q9oUmW1yo/edit?usp=sharing"",""เชียงราย!J30"")"),0)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IFERROR(__xludf.DUMMYFUNCTION("IMPORTRANGE(""https://docs.google.com/spreadsheets/d/11923uPwbBZFjjGgGUA6NLw09EwE0CqkOc4q9oUmW1yo/edit?usp=sharing"",""เชียงราย!I32"")"),7)</f>
        <v>7</v>
      </c>
      <c r="J92" s="142">
        <f ca="1">IFERROR(__xludf.DUMMYFUNCTION("IMPORTRANGE(""https://docs.google.com/spreadsheets/d/11923uPwbBZFjjGgGUA6NLw09EwE0CqkOc4q9oUmW1yo/edit?usp=sharing"",""เชียงราย!J32"")"),7)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IFERROR(__xludf.DUMMYFUNCTION("IMPORTRANGE(""https://docs.google.com/spreadsheets/d/11923uPwbBZFjjGgGUA6NLw09EwE0CqkOc4q9oUmW1yo/edit?usp=sharing"",""เชียงราย!I33"")"),2)</f>
        <v>2</v>
      </c>
      <c r="J93" s="142">
        <f ca="1">IFERROR(__xludf.DUMMYFUNCTION("IMPORTRANGE(""https://docs.google.com/spreadsheets/d/11923uPwbBZFjjGgGUA6NLw09EwE0CqkOc4q9oUmW1yo/edit?usp=sharing"",""เชียงราย!J33"")"),2)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222315</v>
      </c>
      <c r="O94" s="151">
        <f t="shared" ref="O94:O96" ca="1" si="53">IF(L94&gt;0,N94*100/L94,0)</f>
        <v>69.699962377727616</v>
      </c>
      <c r="P94" s="151">
        <f t="shared" ref="P94:P96" ca="1" si="54">IF(M94&gt;0,N94*100/M94,0)</f>
        <v>69.699962377727616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222315</v>
      </c>
      <c r="O96" s="156">
        <f t="shared" ca="1" si="53"/>
        <v>69.699962377727616</v>
      </c>
      <c r="P96" s="156">
        <f t="shared" ca="1" si="54"/>
        <v>69.699962377727616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IFERROR(__xludf.DUMMYFUNCTION("IMPORTRANGE(""https://docs.google.com/spreadsheets/d/1Yj_ptqi66GCucihVvJfMjLAmec39IyEx_6qawtMGysU/edit?usp=sharing"",""สบก!AR21"")"),134160)</f>
        <v>134160</v>
      </c>
      <c r="N98" s="168">
        <f ca="1">IFERROR(__xludf.DUMMYFUNCTION("IMPORTRANGE(""https://docs.google.com/spreadsheets/d/1Yj_ptqi66GCucihVvJfMjLAmec39IyEx_6qawtMGysU/edit?usp=sharing"",""สบก!AS21"")"),37515)</f>
        <v>37515</v>
      </c>
      <c r="O98" s="168">
        <f ca="1">IF(L98&gt;0,N98*100/L98,0)</f>
        <v>27.962880143112702</v>
      </c>
      <c r="P98" s="168">
        <f ca="1">IF(M98&gt;0,N98*100/M98,0)</f>
        <v>27.962880143112702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IFERROR(__xludf.DUMMYFUNCTION("IMPORTRANGE(""https://docs.google.com/spreadsheets/d/1Yj_ptqi66GCucihVvJfMjLAmec39IyEx_6qawtMGysU/edit?usp=sharing"",""สบก!AN21"")"),0)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IFERROR(__xludf.DUMMYFUNCTION("IMPORTRANGE(""https://docs.google.com/spreadsheets/d/1Yj_ptqi66GCucihVvJfMjLAmec39IyEx_6qawtMGysU/edit?usp=sharing"",""สบก!AO21"")"),134160)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IFERROR(__xludf.DUMMYFUNCTION("IMPORTRANGE(""https://docs.google.com/spreadsheets/d/1Yj_ptqi66GCucihVvJfMjLAmec39IyEx_6qawtMGysU/edit?usp=sharing"",""สบก!AP21"")"),184800)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IFERROR(__xludf.DUMMYFUNCTION("IMPORTRANGE(""https://docs.google.com/spreadsheets/d/1Yj_ptqi66GCucihVvJfMjLAmec39IyEx_6qawtMGysU/edit?usp=sharing"",""สบก!AT21"")"),184800)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IFERROR(__xludf.DUMMYFUNCTION("IMPORTRANGE(""https://docs.google.com/spreadsheets/d/11923uPwbBZFjjGgGUA6NLw09EwE0CqkOc4q9oUmW1yo/edit?usp=sharing"",""เชียงราย!J39"")"),0)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IFERROR(__xludf.DUMMYFUNCTION("IMPORTRANGE(""https://docs.google.com/spreadsheets/d/11923uPwbBZFjjGgGUA6NLw09EwE0CqkOc4q9oUmW1yo/edit?usp=sharing"",""เชียงราย!J40"")"),1)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IFERROR(__xludf.DUMMYFUNCTION("IMPORTRANGE(""https://docs.google.com/spreadsheets/d/11923uPwbBZFjjGgGUA6NLw09EwE0CqkOc4q9oUmW1yo/edit?usp=sharing"",""เชียงราย!J41"")"),1)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IFERROR(__xludf.DUMMYFUNCTION("IMPORTRANGE(""https://docs.google.com/spreadsheets/d/11923uPwbBZFjjGgGUA6NLw09EwE0CqkOc4q9oUmW1yo/edit?usp=sharing"",""เชียงราย!J42"")"),1)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IFERROR(__xludf.DUMMYFUNCTION("IMPORTRANGE(""https://docs.google.com/spreadsheets/d/11923uPwbBZFjjGgGUA6NLw09EwE0CqkOc4q9oUmW1yo/edit?usp=sharing"",""เชียงราย!I43"")"),1)</f>
        <v>1</v>
      </c>
      <c r="J108" s="203">
        <f ca="1">IFERROR(__xludf.DUMMYFUNCTION("IMPORTRANGE(""https://docs.google.com/spreadsheets/d/11923uPwbBZFjjGgGUA6NLw09EwE0CqkOc4q9oUmW1yo/edit?usp=sharing"",""เชียงราย!J43"")"),1)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IFERROR(__xludf.DUMMYFUNCTION("IMPORTRANGE(""https://docs.google.com/spreadsheets/d/11923uPwbBZFjjGgGUA6NLw09EwE0CqkOc4q9oUmW1yo/edit?usp=sharing"",""เชียงราย!I44"")"),7)</f>
        <v>7</v>
      </c>
      <c r="J109" s="203">
        <f ca="1">IFERROR(__xludf.DUMMYFUNCTION("IMPORTRANGE(""https://docs.google.com/spreadsheets/d/11923uPwbBZFjjGgGUA6NLw09EwE0CqkOc4q9oUmW1yo/edit?usp=sharing"",""เชียงราย!J44"")"),7)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IFERROR(__xludf.DUMMYFUNCTION("IMPORTRANGE(""https://docs.google.com/spreadsheets/d/11923uPwbBZFjjGgGUA6NLw09EwE0CqkOc4q9oUmW1yo/edit?usp=sharing"",""เชียงราย!I45"")"),7)</f>
        <v>7</v>
      </c>
      <c r="J110" s="203">
        <f ca="1">IFERROR(__xludf.DUMMYFUNCTION("IMPORTRANGE(""https://docs.google.com/spreadsheets/d/11923uPwbBZFjjGgGUA6NLw09EwE0CqkOc4q9oUmW1yo/edit?usp=sharing"",""เชียงราย!J45"")"),7)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IFERROR(__xludf.DUMMYFUNCTION("IMPORTRANGE(""https://docs.google.com/spreadsheets/d/11923uPwbBZFjjGgGUA6NLw09EwE0CqkOc4q9oUmW1yo/edit?usp=sharing"",""เชียงราย!I46"")"),7)</f>
        <v>7</v>
      </c>
      <c r="J111" s="203">
        <f ca="1">IFERROR(__xludf.DUMMYFUNCTION("IMPORTRANGE(""https://docs.google.com/spreadsheets/d/11923uPwbBZFjjGgGUA6NLw09EwE0CqkOc4q9oUmW1yo/edit?usp=sharing"",""เชียงราย!J46"")"),7)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IFERROR(__xludf.DUMMYFUNCTION("IMPORTRANGE(""https://docs.google.com/spreadsheets/d/11923uPwbBZFjjGgGUA6NLw09EwE0CqkOc4q9oUmW1yo/edit?usp=sharing"",""เชียงราย!I47"")"),7)</f>
        <v>7</v>
      </c>
      <c r="J112" s="203">
        <f ca="1">IFERROR(__xludf.DUMMYFUNCTION("IMPORTRANGE(""https://docs.google.com/spreadsheets/d/11923uPwbBZFjjGgGUA6NLw09EwE0CqkOc4q9oUmW1yo/edit?usp=sharing"",""เชียงราย!J47"")"),7)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IFERROR(__xludf.DUMMYFUNCTION("IMPORTRANGE(""https://docs.google.com/spreadsheets/d/11923uPwbBZFjjGgGUA6NLw09EwE0CqkOc4q9oUmW1yo/edit?usp=sharing"",""เชียงราย!I48"")"),2)</f>
        <v>2</v>
      </c>
      <c r="J113" s="203">
        <f ca="1">IFERROR(__xludf.DUMMYFUNCTION("IMPORTRANGE(""https://docs.google.com/spreadsheets/d/11923uPwbBZFjjGgGUA6NLw09EwE0CqkOc4q9oUmW1yo/edit?usp=sharing"",""เชียงราย!J48"")"),2)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IFERROR(__xludf.DUMMYFUNCTION("IMPORTRANGE(""https://docs.google.com/spreadsheets/d/11923uPwbBZFjjGgGUA6NLw09EwE0CqkOc4q9oUmW1yo/edit?usp=sharing"",""เชียงราย!J49"")"),0)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IFERROR(__xludf.DUMMYFUNCTION("IMPORTRANGE(""https://docs.google.com/spreadsheets/d/11923uPwbBZFjjGgGUA6NLw09EwE0CqkOc4q9oUmW1yo/edit?usp=sharing"",""เชียงราย!J50"")"),0)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IFERROR(__xludf.DUMMYFUNCTION("IMPORTRANGE(""https://docs.google.com/spreadsheets/d/11923uPwbBZFjjGgGUA6NLw09EwE0CqkOc4q9oUmW1yo/edit?usp=sharing"",""เชียงราย!I52"")"),0)</f>
        <v>0</v>
      </c>
      <c r="J117" s="142">
        <f ca="1">IFERROR(__xludf.DUMMYFUNCTION("IMPORTRANGE(""https://docs.google.com/spreadsheets/d/11923uPwbBZFjjGgGUA6NLw09EwE0CqkOc4q9oUmW1yo/edit?usp=sharing"",""เชียงราย!J52"")"),0)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IFERROR(__xludf.DUMMYFUNCTION("IMPORTRANGE(""https://docs.google.com/spreadsheets/d/1Yj_ptqi66GCucihVvJfMjLAmec39IyEx_6qawtMGysU/edit?usp=sharing"",""สบก!BA21"")"),0)</f>
        <v>0</v>
      </c>
      <c r="N122" s="168">
        <f ca="1">IFERROR(__xludf.DUMMYFUNCTION("IMPORTRANGE(""https://docs.google.com/spreadsheets/d/1Yj_ptqi66GCucihVvJfMjLAmec39IyEx_6qawtMGysU/edit?usp=sharing"",""สบก!BB21"")"),0)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IFERROR(__xludf.DUMMYFUNCTION("IMPORTRANGE(""https://docs.google.com/spreadsheets/d/1Yj_ptqi66GCucihVvJfMjLAmec39IyEx_6qawtMGysU/edit?usp=sharing"",""สบก!AW21"")"),0)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IFERROR(__xludf.DUMMYFUNCTION("IMPORTRANGE(""https://docs.google.com/spreadsheets/d/1Yj_ptqi66GCucihVvJfMjLAmec39IyEx_6qawtMGysU/edit?usp=sharing"",""สบก!AX21"")"),0)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IFERROR(__xludf.DUMMYFUNCTION("IMPORTRANGE(""https://docs.google.com/spreadsheets/d/1Yj_ptqi66GCucihVvJfMjLAmec39IyEx_6qawtMGysU/edit?usp=sharing"",""สบก!AY21"")"),0)</f>
        <v>0</v>
      </c>
      <c r="M126" s="50"/>
      <c r="N126" s="50">
        <f ca="1">IFERROR(__xludf.DUMMYFUNCTION("IMPORTRANGE(""https://docs.google.com/spreadsheets/d/1Yj_ptqi66GCucihVvJfMjLAmec39IyEx_6qawtMGysU/edit?usp=sharing"",""สบก!BC21"")"),0)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IFERROR(__xludf.DUMMYFUNCTION("IMPORTRANGE(""https://docs.google.com/spreadsheets/d/11923uPwbBZFjjGgGUA6NLw09EwE0CqkOc4q9oUmW1yo/edit?usp=sharing"",""เชียงราย!J58"")"),0)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IFERROR(__xludf.DUMMYFUNCTION("IMPORTRANGE(""https://docs.google.com/spreadsheets/d/11923uPwbBZFjjGgGUA6NLw09EwE0CqkOc4q9oUmW1yo/edit?usp=sharing"",""เชียงราย!J59"")"),0)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IFERROR(__xludf.DUMMYFUNCTION("IMPORTRANGE(""https://docs.google.com/spreadsheets/d/11923uPwbBZFjjGgGUA6NLw09EwE0CqkOc4q9oUmW1yo/edit?usp=sharing"",""เชียงราย!J60"")"),0)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IFERROR(__xludf.DUMMYFUNCTION("IMPORTRANGE(""https://docs.google.com/spreadsheets/d/11923uPwbBZFjjGgGUA6NLw09EwE0CqkOc4q9oUmW1yo/edit?usp=sharing"",""เชียงราย!J61"")"),0)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IFERROR(__xludf.DUMMYFUNCTION("IMPORTRANGE(""https://docs.google.com/spreadsheets/d/11923uPwbBZFjjGgGUA6NLw09EwE0CqkOc4q9oUmW1yo/edit?usp=sharing"",""เชียงราย!I62"")"),0)</f>
        <v>0</v>
      </c>
      <c r="J132" s="203">
        <f ca="1">IFERROR(__xludf.DUMMYFUNCTION("IMPORTRANGE(""https://docs.google.com/spreadsheets/d/11923uPwbBZFjjGgGUA6NLw09EwE0CqkOc4q9oUmW1yo/edit?usp=sharing"",""เชียงราย!J62"")"),0)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IFERROR(__xludf.DUMMYFUNCTION("IMPORTRANGE(""https://docs.google.com/spreadsheets/d/11923uPwbBZFjjGgGUA6NLw09EwE0CqkOc4q9oUmW1yo/edit?usp=sharing"",""เชียงราย!I63"")"),0)</f>
        <v>0</v>
      </c>
      <c r="J133" s="203">
        <f ca="1">IFERROR(__xludf.DUMMYFUNCTION("IMPORTRANGE(""https://docs.google.com/spreadsheets/d/11923uPwbBZFjjGgGUA6NLw09EwE0CqkOc4q9oUmW1yo/edit?usp=sharing"",""เชียงราย!J63"")"),0)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IFERROR(__xludf.DUMMYFUNCTION("IMPORTRANGE(""https://docs.google.com/spreadsheets/d/11923uPwbBZFjjGgGUA6NLw09EwE0CqkOc4q9oUmW1yo/edit?usp=sharing"",""เชียงราย!J64"")"),0)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IFERROR(__xludf.DUMMYFUNCTION("IMPORTRANGE(""https://docs.google.com/spreadsheets/d/11923uPwbBZFjjGgGUA6NLw09EwE0CqkOc4q9oUmW1yo/edit?usp=sharing"",""เชียงราย!J65"")"),0)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IFERROR(__xludf.DUMMYFUNCTION("IMPORTRANGE(""https://docs.google.com/spreadsheets/d/11923uPwbBZFjjGgGUA6NLw09EwE0CqkOc4q9oUmW1yo/edit?usp=sharing"",""เชียงราย!I68"")"),15)</f>
        <v>15</v>
      </c>
      <c r="J138" s="267">
        <f ca="1">IFERROR(__xludf.DUMMYFUNCTION("IMPORTRANGE(""https://docs.google.com/spreadsheets/d/11923uPwbBZFjjGgGUA6NLw09EwE0CqkOc4q9oUmW1yo/edit?usp=sharing"",""เชียงราย!J68"")"),15)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579900</v>
      </c>
      <c r="M140" s="152">
        <f t="shared" ca="1" si="64"/>
        <v>629655</v>
      </c>
      <c r="N140" s="152">
        <f t="shared" ca="1" si="64"/>
        <v>439310.47</v>
      </c>
      <c r="O140" s="151">
        <f t="shared" ref="O140:O142" ca="1" si="65">IF(L140&gt;0,N140*100/L140,0)</f>
        <v>75.756245904466283</v>
      </c>
      <c r="P140" s="151">
        <f t="shared" ref="P140:P142" ca="1" si="66">IF(M140&gt;0,N140*100/M140,0)</f>
        <v>69.770028031223447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579900</v>
      </c>
      <c r="M142" s="88">
        <f t="shared" ca="1" si="68"/>
        <v>629655</v>
      </c>
      <c r="N142" s="88">
        <f t="shared" ca="1" si="68"/>
        <v>439310.47</v>
      </c>
      <c r="O142" s="156">
        <f t="shared" ca="1" si="65"/>
        <v>75.756245904466283</v>
      </c>
      <c r="P142" s="156">
        <f t="shared" ca="1" si="66"/>
        <v>69.770028031223447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579900</v>
      </c>
      <c r="M144" s="167">
        <f ca="1">IFERROR(__xludf.DUMMYFUNCTION("IMPORTRANGE(""https://docs.google.com/spreadsheets/d/1Yj_ptqi66GCucihVvJfMjLAmec39IyEx_6qawtMGysU/edit?usp=sharing"",""สบก!BJ21"")"),629655)</f>
        <v>629655</v>
      </c>
      <c r="N144" s="168">
        <f ca="1">IFERROR(__xludf.DUMMYFUNCTION("IMPORTRANGE(""https://docs.google.com/spreadsheets/d/1Yj_ptqi66GCucihVvJfMjLAmec39IyEx_6qawtMGysU/edit?usp=sharing"",""สบก!BK21"")"),439310.47)</f>
        <v>439310.47</v>
      </c>
      <c r="O144" s="168">
        <f ca="1">IF(L144&gt;0,N144*100/L144,0)</f>
        <v>75.756245904466283</v>
      </c>
      <c r="P144" s="168">
        <f ca="1">IF(M144&gt;0,N144*100/M144,0)</f>
        <v>69.770028031223447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IFERROR(__xludf.DUMMYFUNCTION("IMPORTRANGE(""https://docs.google.com/spreadsheets/d/1Yj_ptqi66GCucihVvJfMjLAmec39IyEx_6qawtMGysU/edit?usp=sharing"",""สบก!BF21"")"),463400)</f>
        <v>463400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IFERROR(__xludf.DUMMYFUNCTION("IMPORTRANGE(""https://docs.google.com/spreadsheets/d/1Yj_ptqi66GCucihVvJfMjLAmec39IyEx_6qawtMGysU/edit?usp=sharing"",""สบก!BG21"")"),116500)</f>
        <v>116500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IFERROR(__xludf.DUMMYFUNCTION("IMPORTRANGE(""https://docs.google.com/spreadsheets/d/1Yj_ptqi66GCucihVvJfMjLAmec39IyEx_6qawtMGysU/edit?usp=sharing"",""สบก!BH21"")"),0)</f>
        <v>0</v>
      </c>
      <c r="M148" s="50"/>
      <c r="N148" s="50">
        <f ca="1">IFERROR(__xludf.DUMMYFUNCTION("IMPORTRANGE(""https://docs.google.com/spreadsheets/d/1Yj_ptqi66GCucihVvJfMjLAmec39IyEx_6qawtMGysU/edit?usp=sharing"",""สบก!BL21"")"),0)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IFERROR(__xludf.DUMMYFUNCTION("IMPORTRANGE(""https://docs.google.com/spreadsheets/d/11923uPwbBZFjjGgGUA6NLw09EwE0CqkOc4q9oUmW1yo/edit?usp=sharing"",""เชียงราย!I74"")"),4)</f>
        <v>4</v>
      </c>
      <c r="J149" s="275">
        <f ca="1">IFERROR(__xludf.DUMMYFUNCTION("IMPORTRANGE(""https://docs.google.com/spreadsheets/d/11923uPwbBZFjjGgGUA6NLw09EwE0CqkOc4q9oUmW1yo/edit?usp=sharing"",""เชียงราย!J74"")"),3)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IFERROR(__xludf.DUMMYFUNCTION("IMPORTRANGE(""https://docs.google.com/spreadsheets/d/11923uPwbBZFjjGgGUA6NLw09EwE0CqkOc4q9oUmW1yo/edit?usp=sharing"",""เชียงราย!J79"")"),0)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IFERROR(__xludf.DUMMYFUNCTION("IMPORTRANGE(""https://docs.google.com/spreadsheets/d/11923uPwbBZFjjGgGUA6NLw09EwE0CqkOc4q9oUmW1yo/edit?usp=sharing"",""เชียงราย!J80"")"),1)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IFERROR(__xludf.DUMMYFUNCTION("IMPORTRANGE(""https://docs.google.com/spreadsheets/d/11923uPwbBZFjjGgGUA6NLw09EwE0CqkOc4q9oUmW1yo/edit?usp=sharing"",""เชียงราย!J81"")"),1)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IFERROR(__xludf.DUMMYFUNCTION("IMPORTRANGE(""https://docs.google.com/spreadsheets/d/11923uPwbBZFjjGgGUA6NLw09EwE0CqkOc4q9oUmW1yo/edit?usp=sharing"",""เชียงราย!J82"")"),1)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IFERROR(__xludf.DUMMYFUNCTION("IMPORTRANGE(""https://docs.google.com/spreadsheets/d/11923uPwbBZFjjGgGUA6NLw09EwE0CqkOc4q9oUmW1yo/edit?usp=sharing"",""เชียงราย!I83"")"),4)</f>
        <v>4</v>
      </c>
      <c r="J158" s="188">
        <f ca="1">IFERROR(__xludf.DUMMYFUNCTION("IMPORTRANGE(""https://docs.google.com/spreadsheets/d/11923uPwbBZFjjGgGUA6NLw09EwE0CqkOc4q9oUmW1yo/edit?usp=sharing"",""เชียงราย!J83"")"),3)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IFERROR(__xludf.DUMMYFUNCTION("IMPORTRANGE(""https://docs.google.com/spreadsheets/d/11923uPwbBZFjjGgGUA6NLw09EwE0CqkOc4q9oUmW1yo/edit?usp=sharing"",""เชียงราย!J84"")"),23)</f>
        <v>23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IFERROR(__xludf.DUMMYFUNCTION("IMPORTRANGE(""https://docs.google.com/spreadsheets/d/11923uPwbBZFjjGgGUA6NLw09EwE0CqkOc4q9oUmW1yo/edit?usp=sharing"",""เชียงราย!J85"")"),21)</f>
        <v>21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IFERROR(__xludf.DUMMYFUNCTION("IMPORTRANGE(""https://docs.google.com/spreadsheets/d/11923uPwbBZFjjGgGUA6NLw09EwE0CqkOc4q9oUmW1yo/edit?usp=sharing"",""เชียงราย!J86"")"),2)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IFERROR(__xludf.DUMMYFUNCTION("IMPORTRANGE(""https://docs.google.com/spreadsheets/d/11923uPwbBZFjjGgGUA6NLw09EwE0CqkOc4q9oUmW1yo/edit?usp=sharing"",""เชียงราย!J87"")"),0)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IFERROR(__xludf.DUMMYFUNCTION("IMPORTRANGE(""https://docs.google.com/spreadsheets/d/11923uPwbBZFjjGgGUA6NLw09EwE0CqkOc4q9oUmW1yo/edit?usp=sharing"",""เชียงราย!J88"")"),0)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IFERROR(__xludf.DUMMYFUNCTION("IMPORTRANGE(""https://docs.google.com/spreadsheets/d/11923uPwbBZFjjGgGUA6NLw09EwE0CqkOc4q9oUmW1yo/edit?usp=sharing"",""เชียงราย!I89"")"),5)</f>
        <v>5</v>
      </c>
      <c r="J164" s="284">
        <f ca="1">IFERROR(__xludf.DUMMYFUNCTION("IMPORTRANGE(""https://docs.google.com/spreadsheets/d/11923uPwbBZFjjGgGUA6NLw09EwE0CqkOc4q9oUmW1yo/edit?usp=sharing"",""เชียงราย!J89"")"),5)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IFERROR(__xludf.DUMMYFUNCTION("IMPORTRANGE(""https://docs.google.com/spreadsheets/d/11923uPwbBZFjjGgGUA6NLw09EwE0CqkOc4q9oUmW1yo/edit?usp=sharing"",""เชียงราย!J94"")"),0)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IFERROR(__xludf.DUMMYFUNCTION("IMPORTRANGE(""https://docs.google.com/spreadsheets/d/11923uPwbBZFjjGgGUA6NLw09EwE0CqkOc4q9oUmW1yo/edit?usp=sharing"",""เชียงราย!J95"")"),1)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IFERROR(__xludf.DUMMYFUNCTION("IMPORTRANGE(""https://docs.google.com/spreadsheets/d/11923uPwbBZFjjGgGUA6NLw09EwE0CqkOc4q9oUmW1yo/edit?usp=sharing"",""เชียงราย!J96"")"),1)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IFERROR(__xludf.DUMMYFUNCTION("IMPORTRANGE(""https://docs.google.com/spreadsheets/d/11923uPwbBZFjjGgGUA6NLw09EwE0CqkOc4q9oUmW1yo/edit?usp=sharing"",""เชียงราย!J97"")"),1)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IFERROR(__xludf.DUMMYFUNCTION("IMPORTRANGE(""https://docs.google.com/spreadsheets/d/11923uPwbBZFjjGgGUA6NLw09EwE0CqkOc4q9oUmW1yo/edit?usp=sharing"",""เชียงราย!I98"")"),5)</f>
        <v>5</v>
      </c>
      <c r="J173" s="188">
        <f ca="1">IFERROR(__xludf.DUMMYFUNCTION("IMPORTRANGE(""https://docs.google.com/spreadsheets/d/11923uPwbBZFjjGgGUA6NLw09EwE0CqkOc4q9oUmW1yo/edit?usp=sharing"",""เชียงราย!J98"")"),5)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IFERROR(__xludf.DUMMYFUNCTION("IMPORTRANGE(""https://docs.google.com/spreadsheets/d/11923uPwbBZFjjGgGUA6NLw09EwE0CqkOc4q9oUmW1yo/edit?usp=sharing"",""เชียงราย!J99"")"),0)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IFERROR(__xludf.DUMMYFUNCTION("IMPORTRANGE(""https://docs.google.com/spreadsheets/d/11923uPwbBZFjjGgGUA6NLw09EwE0CqkOc4q9oUmW1yo/edit?usp=sharing"",""เชียงราย!J100"")"),0)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IFERROR(__xludf.DUMMYFUNCTION("IMPORTRANGE(""https://docs.google.com/spreadsheets/d/11923uPwbBZFjjGgGUA6NLw09EwE0CqkOc4q9oUmW1yo/edit?usp=sharing"",""เชียงราย!I101"")"),0)</f>
        <v>0</v>
      </c>
      <c r="J176" s="284">
        <f ca="1">IFERROR(__xludf.DUMMYFUNCTION("IMPORTRANGE(""https://docs.google.com/spreadsheets/d/11923uPwbBZFjjGgGUA6NLw09EwE0CqkOc4q9oUmW1yo/edit?usp=sharing"",""เชียงราย!J101"")"),0)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IFERROR(__xludf.DUMMYFUNCTION("IMPORTRANGE(""https://docs.google.com/spreadsheets/d/11923uPwbBZFjjGgGUA6NLw09EwE0CqkOc4q9oUmW1yo/edit?usp=sharing"",""เชียงราย!J106"")"),0)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IFERROR(__xludf.DUMMYFUNCTION("IMPORTRANGE(""https://docs.google.com/spreadsheets/d/11923uPwbBZFjjGgGUA6NLw09EwE0CqkOc4q9oUmW1yo/edit?usp=sharing"",""เชียงราย!J107"")"),0)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IFERROR(__xludf.DUMMYFUNCTION("IMPORTRANGE(""https://docs.google.com/spreadsheets/d/11923uPwbBZFjjGgGUA6NLw09EwE0CqkOc4q9oUmW1yo/edit?usp=sharing"",""เชียงราย!J108"")"),0)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IFERROR(__xludf.DUMMYFUNCTION("IMPORTRANGE(""https://docs.google.com/spreadsheets/d/11923uPwbBZFjjGgGUA6NLw09EwE0CqkOc4q9oUmW1yo/edit?usp=sharing"",""เชียงราย!J109"")"),0)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IFERROR(__xludf.DUMMYFUNCTION("IMPORTRANGE(""https://docs.google.com/spreadsheets/d/11923uPwbBZFjjGgGUA6NLw09EwE0CqkOc4q9oUmW1yo/edit?usp=sharing"",""เชียงราย!I110"")"),0)</f>
        <v>0</v>
      </c>
      <c r="J185" s="203">
        <f ca="1">IFERROR(__xludf.DUMMYFUNCTION("IMPORTRANGE(""https://docs.google.com/spreadsheets/d/11923uPwbBZFjjGgGUA6NLw09EwE0CqkOc4q9oUmW1yo/edit?usp=sharing"",""เชียงราย!J110"")"),0)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IFERROR(__xludf.DUMMYFUNCTION("IMPORTRANGE(""https://docs.google.com/spreadsheets/d/11923uPwbBZFjjGgGUA6NLw09EwE0CqkOc4q9oUmW1yo/edit?usp=sharing"",""เชียงราย!I111"")"),0)</f>
        <v>0</v>
      </c>
      <c r="J186" s="203">
        <f ca="1">IFERROR(__xludf.DUMMYFUNCTION("IMPORTRANGE(""https://docs.google.com/spreadsheets/d/11923uPwbBZFjjGgGUA6NLw09EwE0CqkOc4q9oUmW1yo/edit?usp=sharing"",""เชียงราย!J111"")"),0)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IFERROR(__xludf.DUMMYFUNCTION("IMPORTRANGE(""https://docs.google.com/spreadsheets/d/11923uPwbBZFjjGgGUA6NLw09EwE0CqkOc4q9oUmW1yo/edit?usp=sharing"",""เชียงราย!J112"")"),0)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IFERROR(__xludf.DUMMYFUNCTION("IMPORTRANGE(""https://docs.google.com/spreadsheets/d/11923uPwbBZFjjGgGUA6NLw09EwE0CqkOc4q9oUmW1yo/edit?usp=sharing"",""เชียงราย!J113"")"),0)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IFERROR(__xludf.DUMMYFUNCTION("IMPORTRANGE(""https://docs.google.com/spreadsheets/d/11923uPwbBZFjjGgGUA6NLw09EwE0CqkOc4q9oUmW1yo/edit?usp=sharing"",""เชียงราย!I114"")"),60000)</f>
        <v>60000</v>
      </c>
      <c r="J189" s="284">
        <f ca="1">IFERROR(__xludf.DUMMYFUNCTION("IMPORTRANGE(""https://docs.google.com/spreadsheets/d/11923uPwbBZFjjGgGUA6NLw09EwE0CqkOc4q9oUmW1yo/edit?usp=sharing"",""เชียงราย!J114"")"),0)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IFERROR(__xludf.DUMMYFUNCTION("IMPORTRANGE(""https://docs.google.com/spreadsheets/d/11923uPwbBZFjjGgGUA6NLw09EwE0CqkOc4q9oUmW1yo/edit?usp=sharing"",""เชียงราย!J119"")"),0)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IFERROR(__xludf.DUMMYFUNCTION("IMPORTRANGE(""https://docs.google.com/spreadsheets/d/11923uPwbBZFjjGgGUA6NLw09EwE0CqkOc4q9oUmW1yo/edit?usp=sharing"",""เชียงราย!J120"")"),1)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IFERROR(__xludf.DUMMYFUNCTION("IMPORTRANGE(""https://docs.google.com/spreadsheets/d/11923uPwbBZFjjGgGUA6NLw09EwE0CqkOc4q9oUmW1yo/edit?usp=sharing"",""เชียงราย!J121"")"),1)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IFERROR(__xludf.DUMMYFUNCTION("IMPORTRANGE(""https://docs.google.com/spreadsheets/d/11923uPwbBZFjjGgGUA6NLw09EwE0CqkOc4q9oUmW1yo/edit?usp=sharing"",""เชียงราย!J122"")"),1)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IFERROR(__xludf.DUMMYFUNCTION("IMPORTRANGE(""https://docs.google.com/spreadsheets/d/11923uPwbBZFjjGgGUA6NLw09EwE0CqkOc4q9oUmW1yo/edit?usp=sharing"",""เชียงราย!I124"")"),60000)</f>
        <v>60000</v>
      </c>
      <c r="J199" s="188">
        <f ca="1">IFERROR(__xludf.DUMMYFUNCTION("IMPORTRANGE(""https://docs.google.com/spreadsheets/d/11923uPwbBZFjjGgGUA6NLw09EwE0CqkOc4q9oUmW1yo/edit?usp=sharing"",""เชียงราย!J124"")"),40000)</f>
        <v>40000</v>
      </c>
      <c r="K199" s="163">
        <f t="shared" ref="K199:K201" ca="1" si="70">IF(I199&gt;0,J199*100/I199,0)</f>
        <v>66.666666666666671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IFERROR(__xludf.DUMMYFUNCTION("IMPORTRANGE(""https://docs.google.com/spreadsheets/d/11923uPwbBZFjjGgGUA6NLw09EwE0CqkOc4q9oUmW1yo/edit?usp=sharing"",""เชียงราย!I125"")"),60000)</f>
        <v>60000</v>
      </c>
      <c r="J200" s="188">
        <f ca="1">IFERROR(__xludf.DUMMYFUNCTION("IMPORTRANGE(""https://docs.google.com/spreadsheets/d/11923uPwbBZFjjGgGUA6NLw09EwE0CqkOc4q9oUmW1yo/edit?usp=sharing"",""เชียงราย!J125"")"),0)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IFERROR(__xludf.DUMMYFUNCTION("IMPORTRANGE(""https://docs.google.com/spreadsheets/d/11923uPwbBZFjjGgGUA6NLw09EwE0CqkOc4q9oUmW1yo/edit?usp=sharing"",""เชียงราย!I126"")"),15)</f>
        <v>15</v>
      </c>
      <c r="J201" s="188">
        <f ca="1">IFERROR(__xludf.DUMMYFUNCTION("IMPORTRANGE(""https://docs.google.com/spreadsheets/d/11923uPwbBZFjjGgGUA6NLw09EwE0CqkOc4q9oUmW1yo/edit?usp=sharing"",""เชียงราย!J126"")"),15)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IFERROR(__xludf.DUMMYFUNCTION("IMPORTRANGE(""https://docs.google.com/spreadsheets/d/11923uPwbBZFjjGgGUA6NLw09EwE0CqkOc4q9oUmW1yo/edit?usp=sharing"",""เชียงราย!J127"")"),0)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IFERROR(__xludf.DUMMYFUNCTION("IMPORTRANGE(""https://docs.google.com/spreadsheets/d/11923uPwbBZFjjGgGUA6NLw09EwE0CqkOc4q9oUmW1yo/edit?usp=sharing"",""เชียงราย!J128"")"),0)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IFERROR(__xludf.DUMMYFUNCTION("IMPORTRANGE(""https://docs.google.com/spreadsheets/d/11923uPwbBZFjjGgGUA6NLw09EwE0CqkOc4q9oUmW1yo/edit?usp=sharing"",""เชียงราย!I129"")"),0)</f>
        <v>0</v>
      </c>
      <c r="J204" s="284">
        <f ca="1">IFERROR(__xludf.DUMMYFUNCTION("IMPORTRANGE(""https://docs.google.com/spreadsheets/d/11923uPwbBZFjjGgGUA6NLw09EwE0CqkOc4q9oUmW1yo/edit?usp=sharing"",""เชียงราย!J129"")"),0)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IFERROR(__xludf.DUMMYFUNCTION("IMPORTRANGE(""https://docs.google.com/spreadsheets/d/11923uPwbBZFjjGgGUA6NLw09EwE0CqkOc4q9oUmW1yo/edit?usp=sharing"",""เชียงราย!J134"")"),0)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IFERROR(__xludf.DUMMYFUNCTION("IMPORTRANGE(""https://docs.google.com/spreadsheets/d/11923uPwbBZFjjGgGUA6NLw09EwE0CqkOc4q9oUmW1yo/edit?usp=sharing"",""เชียงราย!J135"")"),0)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IFERROR(__xludf.DUMMYFUNCTION("IMPORTRANGE(""https://docs.google.com/spreadsheets/d/11923uPwbBZFjjGgGUA6NLw09EwE0CqkOc4q9oUmW1yo/edit?usp=sharing"",""เชียงราย!J136"")"),0)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IFERROR(__xludf.DUMMYFUNCTION("IMPORTRANGE(""https://docs.google.com/spreadsheets/d/11923uPwbBZFjjGgGUA6NLw09EwE0CqkOc4q9oUmW1yo/edit?usp=sharing"",""เชียงราย!J137"")"),0)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IFERROR(__xludf.DUMMYFUNCTION("IMPORTRANGE(""https://docs.google.com/spreadsheets/d/11923uPwbBZFjjGgGUA6NLw09EwE0CqkOc4q9oUmW1yo/edit?usp=sharing"",""เชียงราย!I138"")"),0)</f>
        <v>0</v>
      </c>
      <c r="J213" s="203">
        <f ca="1">IFERROR(__xludf.DUMMYFUNCTION("IMPORTRANGE(""https://docs.google.com/spreadsheets/d/11923uPwbBZFjjGgGUA6NLw09EwE0CqkOc4q9oUmW1yo/edit?usp=sharing"",""เชียงราย!J138"")"),0)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IFERROR(__xludf.DUMMYFUNCTION("IMPORTRANGE(""https://docs.google.com/spreadsheets/d/11923uPwbBZFjjGgGUA6NLw09EwE0CqkOc4q9oUmW1yo/edit?usp=sharing"",""เชียงราย!I140"")"),0)</f>
        <v>0</v>
      </c>
      <c r="J215" s="203">
        <f ca="1">IFERROR(__xludf.DUMMYFUNCTION("IMPORTRANGE(""https://docs.google.com/spreadsheets/d/11923uPwbBZFjjGgGUA6NLw09EwE0CqkOc4q9oUmW1yo/edit?usp=sharing"",""เชียงราย!J140"")"),0)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IFERROR(__xludf.DUMMYFUNCTION("IMPORTRANGE(""https://docs.google.com/spreadsheets/d/11923uPwbBZFjjGgGUA6NLw09EwE0CqkOc4q9oUmW1yo/edit?usp=sharing"",""เชียงราย!I141"")"),0)</f>
        <v>0</v>
      </c>
      <c r="J216" s="203">
        <f ca="1">IFERROR(__xludf.DUMMYFUNCTION("IMPORTRANGE(""https://docs.google.com/spreadsheets/d/11923uPwbBZFjjGgGUA6NLw09EwE0CqkOc4q9oUmW1yo/edit?usp=sharing"",""เชียงราย!J141"")"),0)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IFERROR(__xludf.DUMMYFUNCTION("IMPORTRANGE(""https://docs.google.com/spreadsheets/d/11923uPwbBZFjjGgGUA6NLw09EwE0CqkOc4q9oUmW1yo/edit?usp=sharing"",""เชียงราย!J142"")"),0)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IFERROR(__xludf.DUMMYFUNCTION("IMPORTRANGE(""https://docs.google.com/spreadsheets/d/11923uPwbBZFjjGgGUA6NLw09EwE0CqkOc4q9oUmW1yo/edit?usp=sharing"",""เชียงราย!J143"")"),0)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IFERROR(__xludf.DUMMYFUNCTION("IMPORTRANGE(""https://docs.google.com/spreadsheets/d/11923uPwbBZFjjGgGUA6NLw09EwE0CqkOc4q9oUmW1yo/edit?usp=sharing"",""เชียงราย!I144"")"),14)</f>
        <v>14</v>
      </c>
      <c r="J219" s="267">
        <f ca="1">IFERROR(__xludf.DUMMYFUNCTION("IMPORTRANGE(""https://docs.google.com/spreadsheets/d/11923uPwbBZFjjGgGUA6NLw09EwE0CqkOc4q9oUmW1yo/edit?usp=sharing"",""เชียงราย!J144"")"),14)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IFERROR(__xludf.DUMMYFUNCTION("IMPORTRANGE(""https://docs.google.com/spreadsheets/d/1Yj_ptqi66GCucihVvJfMjLAmec39IyEx_6qawtMGysU/edit?usp=sharing"",""สบก!BS21"")"),20210)</f>
        <v>20210</v>
      </c>
      <c r="N224" s="168">
        <f ca="1">IFERROR(__xludf.DUMMYFUNCTION("IMPORTRANGE(""https://docs.google.com/spreadsheets/d/1Yj_ptqi66GCucihVvJfMjLAmec39IyEx_6qawtMGysU/edit?usp=sharing"",""สบก!BT21"")"),20210)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IFERROR(__xludf.DUMMYFUNCTION("IMPORTRANGE(""https://docs.google.com/spreadsheets/d/1Yj_ptqi66GCucihVvJfMjLAmec39IyEx_6qawtMGysU/edit?usp=sharing"",""สบก!BO21"")"),0)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IFERROR(__xludf.DUMMYFUNCTION("IMPORTRANGE(""https://docs.google.com/spreadsheets/d/1Yj_ptqi66GCucihVvJfMjLAmec39IyEx_6qawtMGysU/edit?usp=sharing"",""สบก!BP21"")"),20210)</f>
        <v>20210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IFERROR(__xludf.DUMMYFUNCTION("IMPORTRANGE(""https://docs.google.com/spreadsheets/d/1Yj_ptqi66GCucihVvJfMjLAmec39IyEx_6qawtMGysU/edit?usp=sharing"",""สบก!BQ21"")"),0)</f>
        <v>0</v>
      </c>
      <c r="M228" s="50"/>
      <c r="N228" s="50">
        <f ca="1">IFERROR(__xludf.DUMMYFUNCTION("IMPORTRANGE(""https://docs.google.com/spreadsheets/d/1Yj_ptqi66GCucihVvJfMjLAmec39IyEx_6qawtMGysU/edit?usp=sharing"",""สบก!BU21"")"),0)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IFERROR(__xludf.DUMMYFUNCTION("IMPORTRANGE(""https://docs.google.com/spreadsheets/d/11923uPwbBZFjjGgGUA6NLw09EwE0CqkOc4q9oUmW1yo/edit?usp=sharing"",""เชียงราย!I149"")"),14)</f>
        <v>14</v>
      </c>
      <c r="J229" s="267">
        <f ca="1">IFERROR(__xludf.DUMMYFUNCTION("IMPORTRANGE(""https://docs.google.com/spreadsheets/d/11923uPwbBZFjjGgGUA6NLw09EwE0CqkOc4q9oUmW1yo/edit?usp=sharing"",""เชียงราย!J149"")"),14)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IFERROR(__xludf.DUMMYFUNCTION("IMPORTRANGE(""https://docs.google.com/spreadsheets/d/11923uPwbBZFjjGgGUA6NLw09EwE0CqkOc4q9oUmW1yo/edit?usp=sharing"",""เชียงราย!J151"")"),0)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IFERROR(__xludf.DUMMYFUNCTION("IMPORTRANGE(""https://docs.google.com/spreadsheets/d/11923uPwbBZFjjGgGUA6NLw09EwE0CqkOc4q9oUmW1yo/edit?usp=sharing"",""เชียงราย!J152"")"),1)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IFERROR(__xludf.DUMMYFUNCTION("IMPORTRANGE(""https://docs.google.com/spreadsheets/d/11923uPwbBZFjjGgGUA6NLw09EwE0CqkOc4q9oUmW1yo/edit?usp=sharing"",""เชียงราย!J153"")"),1)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IFERROR(__xludf.DUMMYFUNCTION("IMPORTRANGE(""https://docs.google.com/spreadsheets/d/11923uPwbBZFjjGgGUA6NLw09EwE0CqkOc4q9oUmW1yo/edit?usp=sharing"",""เชียงราย!J154"")"),1)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IFERROR(__xludf.DUMMYFUNCTION("IMPORTRANGE(""https://docs.google.com/spreadsheets/d/11923uPwbBZFjjGgGUA6NLw09EwE0CqkOc4q9oUmW1yo/edit?usp=sharing"",""เชียงราย!I155"")"),14)</f>
        <v>14</v>
      </c>
      <c r="J235" s="188">
        <f ca="1">IFERROR(__xludf.DUMMYFUNCTION("IMPORTRANGE(""https://docs.google.com/spreadsheets/d/11923uPwbBZFjjGgGUA6NLw09EwE0CqkOc4q9oUmW1yo/edit?usp=sharing"",""เชียงราย!J155"")"),14)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IFERROR(__xludf.DUMMYFUNCTION("IMPORTRANGE(""https://docs.google.com/spreadsheets/d/11923uPwbBZFjjGgGUA6NLw09EwE0CqkOc4q9oUmW1yo/edit?usp=sharing"",""เชียงราย!J156"")"),0)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IFERROR(__xludf.DUMMYFUNCTION("IMPORTRANGE(""https://docs.google.com/spreadsheets/d/11923uPwbBZFjjGgGUA6NLw09EwE0CqkOc4q9oUmW1yo/edit?usp=sharing"",""เชียงราย!J157"")"),0)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IFERROR(__xludf.DUMMYFUNCTION("IMPORTRANGE(""https://docs.google.com/spreadsheets/d/11923uPwbBZFjjGgGUA6NLw09EwE0CqkOc4q9oUmW1yo/edit?usp=sharing"",""เชียงราย!I158"")"),0)</f>
        <v>0</v>
      </c>
      <c r="J238" s="267">
        <f ca="1">IFERROR(__xludf.DUMMYFUNCTION("IMPORTRANGE(""https://docs.google.com/spreadsheets/d/11923uPwbBZFjjGgGUA6NLw09EwE0CqkOc4q9oUmW1yo/edit?usp=sharing"",""เชียงราย!J158"")"),0)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IFERROR(__xludf.DUMMYFUNCTION("IMPORTRANGE(""https://docs.google.com/spreadsheets/d/11923uPwbBZFjjGgGUA6NLw09EwE0CqkOc4q9oUmW1yo/edit?usp=sharing"",""เชียงราย!J159"")"),"")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IFERROR(__xludf.DUMMYFUNCTION("IMPORTRANGE(""https://docs.google.com/spreadsheets/d/11923uPwbBZFjjGgGUA6NLw09EwE0CqkOc4q9oUmW1yo/edit?usp=sharing"",""เชียงราย!J161"")"),0)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IFERROR(__xludf.DUMMYFUNCTION("IMPORTRANGE(""https://docs.google.com/spreadsheets/d/11923uPwbBZFjjGgGUA6NLw09EwE0CqkOc4q9oUmW1yo/edit?usp=sharing"",""เชียงราย!J162"")"),0)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IFERROR(__xludf.DUMMYFUNCTION("IMPORTRANGE(""https://docs.google.com/spreadsheets/d/11923uPwbBZFjjGgGUA6NLw09EwE0CqkOc4q9oUmW1yo/edit?usp=sharing"",""เชียงราย!J163"")"),0)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IFERROR(__xludf.DUMMYFUNCTION("IMPORTRANGE(""https://docs.google.com/spreadsheets/d/11923uPwbBZFjjGgGUA6NLw09EwE0CqkOc4q9oUmW1yo/edit?usp=sharing"",""เชียงราย!I164"")"),0)</f>
        <v>0</v>
      </c>
      <c r="J244" s="187">
        <f ca="1">IFERROR(__xludf.DUMMYFUNCTION("IMPORTRANGE(""https://docs.google.com/spreadsheets/d/11923uPwbBZFjjGgGUA6NLw09EwE0CqkOc4q9oUmW1yo/edit?usp=sharing"",""เชียงราย!J164"")"),0)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IFERROR(__xludf.DUMMYFUNCTION("IMPORTRANGE(""https://docs.google.com/spreadsheets/d/11923uPwbBZFjjGgGUA6NLw09EwE0CqkOc4q9oUmW1yo/edit?usp=sharing"",""เชียงราย!J165"")"),0)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IFERROR(__xludf.DUMMYFUNCTION("IMPORTRANGE(""https://docs.google.com/spreadsheets/d/11923uPwbBZFjjGgGUA6NLw09EwE0CqkOc4q9oUmW1yo/edit?usp=sharing"",""เชียงราย!J166"")"),0)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IFERROR(__xludf.DUMMYFUNCTION("IMPORTRANGE(""https://docs.google.com/spreadsheets/d/11923uPwbBZFjjGgGUA6NLw09EwE0CqkOc4q9oUmW1yo/edit?usp=sharing"",""เชียงราย!I169"")"),20)</f>
        <v>20</v>
      </c>
      <c r="J249" s="316">
        <f ca="1">IFERROR(__xludf.DUMMYFUNCTION("IMPORTRANGE(""https://docs.google.com/spreadsheets/d/11923uPwbBZFjjGgGUA6NLw09EwE0CqkOc4q9oUmW1yo/edit?usp=sharing"",""เชียงราย!J169"")"),20)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32990</v>
      </c>
      <c r="O250" s="151">
        <f t="shared" ref="O250:O252" ca="1" si="78">IF(L250&gt;0,N250*100/L250,0)</f>
        <v>46.20448179271709</v>
      </c>
      <c r="P250" s="151">
        <f t="shared" ref="P250:P252" ca="1" si="79">IF(M250&gt;0,N250*100/M250,0)</f>
        <v>46.20448179271709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32990</v>
      </c>
      <c r="O252" s="156">
        <f t="shared" ca="1" si="78"/>
        <v>46.20448179271709</v>
      </c>
      <c r="P252" s="156">
        <f t="shared" ca="1" si="79"/>
        <v>46.20448179271709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IFERROR(__xludf.DUMMYFUNCTION("IMPORTRANGE(""https://docs.google.com/spreadsheets/d/1Yj_ptqi66GCucihVvJfMjLAmec39IyEx_6qawtMGysU/edit?usp=sharing"",""สบก!CB21"")"),71400)</f>
        <v>71400</v>
      </c>
      <c r="N254" s="168">
        <f ca="1">IFERROR(__xludf.DUMMYFUNCTION("IMPORTRANGE(""https://docs.google.com/spreadsheets/d/1Yj_ptqi66GCucihVvJfMjLAmec39IyEx_6qawtMGysU/edit?usp=sharing"",""สบก!CC21"")"),32990)</f>
        <v>32990</v>
      </c>
      <c r="O254" s="168">
        <f ca="1">IF(L254&gt;0,N254*100/L254,0)</f>
        <v>46.20448179271709</v>
      </c>
      <c r="P254" s="168">
        <f ca="1">IF(M254&gt;0,N254*100/M254,0)</f>
        <v>46.20448179271709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IFERROR(__xludf.DUMMYFUNCTION("IMPORTRANGE(""https://docs.google.com/spreadsheets/d/1Yj_ptqi66GCucihVvJfMjLAmec39IyEx_6qawtMGysU/edit?usp=sharing"",""สบก!BX21"")"),0)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IFERROR(__xludf.DUMMYFUNCTION("IMPORTRANGE(""https://docs.google.com/spreadsheets/d/1Yj_ptqi66GCucihVvJfMjLAmec39IyEx_6qawtMGysU/edit?usp=sharing"",""สบก!BY21"")"),71400)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IFERROR(__xludf.DUMMYFUNCTION("IMPORTRANGE(""https://docs.google.com/spreadsheets/d/1Yj_ptqi66GCucihVvJfMjLAmec39IyEx_6qawtMGysU/edit?usp=sharing"",""สบก!BZ21"")"),0)</f>
        <v>0</v>
      </c>
      <c r="M258" s="50"/>
      <c r="N258" s="50">
        <f ca="1">IFERROR(__xludf.DUMMYFUNCTION("IMPORTRANGE(""https://docs.google.com/spreadsheets/d/1Yj_ptqi66GCucihVvJfMjLAmec39IyEx_6qawtMGysU/edit?usp=sharing"",""สบก!CD21"")"),0)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IFERROR(__xludf.DUMMYFUNCTION("IMPORTRANGE(""https://docs.google.com/spreadsheets/d/11923uPwbBZFjjGgGUA6NLw09EwE0CqkOc4q9oUmW1yo/edit?usp=sharing"",""เชียงราย!J175"")"),0)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IFERROR(__xludf.DUMMYFUNCTION("IMPORTRANGE(""https://docs.google.com/spreadsheets/d/11923uPwbBZFjjGgGUA6NLw09EwE0CqkOc4q9oUmW1yo/edit?usp=sharing"",""เชียงราย!J176"")"),1)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IFERROR(__xludf.DUMMYFUNCTION("IMPORTRANGE(""https://docs.google.com/spreadsheets/d/11923uPwbBZFjjGgGUA6NLw09EwE0CqkOc4q9oUmW1yo/edit?usp=sharing"",""เชียงราย!J177"")"),1)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IFERROR(__xludf.DUMMYFUNCTION("IMPORTRANGE(""https://docs.google.com/spreadsheets/d/11923uPwbBZFjjGgGUA6NLw09EwE0CqkOc4q9oUmW1yo/edit?usp=sharing"",""เชียงราย!J178"")"),1)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IFERROR(__xludf.DUMMYFUNCTION("IMPORTRANGE(""https://docs.google.com/spreadsheets/d/11923uPwbBZFjjGgGUA6NLw09EwE0CqkOc4q9oUmW1yo/edit?usp=sharing"",""เชียงราย!I179"")"),1)</f>
        <v>1</v>
      </c>
      <c r="J264" s="188">
        <f ca="1">IFERROR(__xludf.DUMMYFUNCTION("IMPORTRANGE(""https://docs.google.com/spreadsheets/d/11923uPwbBZFjjGgGUA6NLw09EwE0CqkOc4q9oUmW1yo/edit?usp=sharing"",""เชียงราย!J179"")"),1)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IFERROR(__xludf.DUMMYFUNCTION("IMPORTRANGE(""https://docs.google.com/spreadsheets/d/11923uPwbBZFjjGgGUA6NLw09EwE0CqkOc4q9oUmW1yo/edit?usp=sharing"",""เชียงราย!I180"")"),20)</f>
        <v>20</v>
      </c>
      <c r="J265" s="188">
        <f ca="1">IFERROR(__xludf.DUMMYFUNCTION("IMPORTRANGE(""https://docs.google.com/spreadsheets/d/11923uPwbBZFjjGgGUA6NLw09EwE0CqkOc4q9oUmW1yo/edit?usp=sharing"",""เชียงราย!J180"")"),20)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IFERROR(__xludf.DUMMYFUNCTION("IMPORTRANGE(""https://docs.google.com/spreadsheets/d/11923uPwbBZFjjGgGUA6NLw09EwE0CqkOc4q9oUmW1yo/edit?usp=sharing"",""เชียงราย!I181"")"),20)</f>
        <v>20</v>
      </c>
      <c r="J266" s="188">
        <f ca="1">IFERROR(__xludf.DUMMYFUNCTION("IMPORTRANGE(""https://docs.google.com/spreadsheets/d/11923uPwbBZFjjGgGUA6NLw09EwE0CqkOc4q9oUmW1yo/edit?usp=sharing"",""เชียงราย!J181"")"),0)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IFERROR(__xludf.DUMMYFUNCTION("IMPORTRANGE(""https://docs.google.com/spreadsheets/d/11923uPwbBZFjjGgGUA6NLw09EwE0CqkOc4q9oUmW1yo/edit?usp=sharing"",""เชียงราย!I182"")"),1)</f>
        <v>1</v>
      </c>
      <c r="J267" s="188">
        <f ca="1">IFERROR(__xludf.DUMMYFUNCTION("IMPORTRANGE(""https://docs.google.com/spreadsheets/d/11923uPwbBZFjjGgGUA6NLw09EwE0CqkOc4q9oUmW1yo/edit?usp=sharing"",""เชียงราย!J182"")"),0)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IFERROR(__xludf.DUMMYFUNCTION("IMPORTRANGE(""https://docs.google.com/spreadsheets/d/11923uPwbBZFjjGgGUA6NLw09EwE0CqkOc4q9oUmW1yo/edit?usp=sharing"",""เชียงราย!J183"")"),0)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IFERROR(__xludf.DUMMYFUNCTION("IMPORTRANGE(""https://docs.google.com/spreadsheets/d/11923uPwbBZFjjGgGUA6NLw09EwE0CqkOc4q9oUmW1yo/edit?usp=sharing"",""เชียงราย!J184"")"),0)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IFERROR(__xludf.DUMMYFUNCTION("IMPORTRANGE(""https://docs.google.com/spreadsheets/d/11923uPwbBZFjjGgGUA6NLw09EwE0CqkOc4q9oUmW1yo/edit?usp=sharing"",""เชียงราย!I185"")"),15)</f>
        <v>15</v>
      </c>
      <c r="J270" s="316">
        <f ca="1">IFERROR(__xludf.DUMMYFUNCTION("IMPORTRANGE(""https://docs.google.com/spreadsheets/d/11923uPwbBZFjjGgGUA6NLw09EwE0CqkOc4q9oUmW1yo/edit?usp=sharing"",""เชียงราย!J185"")"),15)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61420</v>
      </c>
      <c r="O271" s="151">
        <f t="shared" ref="O271:O273" ca="1" si="84">IF(L271&gt;0,N271*100/L271,0)</f>
        <v>58.107852412488171</v>
      </c>
      <c r="P271" s="151">
        <f t="shared" ref="P271:P273" ca="1" si="85">IF(M271&gt;0,N271*100/M271,0)</f>
        <v>58.107852412488171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105700</v>
      </c>
      <c r="N273" s="88">
        <f t="shared" ca="1" si="87"/>
        <v>61420</v>
      </c>
      <c r="O273" s="156">
        <f t="shared" ca="1" si="84"/>
        <v>58.107852412488171</v>
      </c>
      <c r="P273" s="156">
        <f t="shared" ca="1" si="85"/>
        <v>58.107852412488171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IFERROR(__xludf.DUMMYFUNCTION("IMPORTRANGE(""https://docs.google.com/spreadsheets/d/1Yj_ptqi66GCucihVvJfMjLAmec39IyEx_6qawtMGysU/edit?usp=sharing"",""สบก!CK21"")"),105700)</f>
        <v>105700</v>
      </c>
      <c r="N275" s="168">
        <f ca="1">IFERROR(__xludf.DUMMYFUNCTION("IMPORTRANGE(""https://docs.google.com/spreadsheets/d/1Yj_ptqi66GCucihVvJfMjLAmec39IyEx_6qawtMGysU/edit?usp=sharing"",""สบก!CL21"")"),61420)</f>
        <v>61420</v>
      </c>
      <c r="O275" s="168">
        <f ca="1">IF(L275&gt;0,N275*100/L275,0)</f>
        <v>58.107852412488171</v>
      </c>
      <c r="P275" s="168">
        <f ca="1">IF(M275&gt;0,N275*100/M275,0)</f>
        <v>58.107852412488171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IFERROR(__xludf.DUMMYFUNCTION("IMPORTRANGE(""https://docs.google.com/spreadsheets/d/1Yj_ptqi66GCucihVvJfMjLAmec39IyEx_6qawtMGysU/edit?usp=sharing"",""สบก!CG21"")"),0)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IFERROR(__xludf.DUMMYFUNCTION("IMPORTRANGE(""https://docs.google.com/spreadsheets/d/1Yj_ptqi66GCucihVvJfMjLAmec39IyEx_6qawtMGysU/edit?usp=sharing"",""สบก!CH21"")"),105700)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IFERROR(__xludf.DUMMYFUNCTION("IMPORTRANGE(""https://docs.google.com/spreadsheets/d/1Yj_ptqi66GCucihVvJfMjLAmec39IyEx_6qawtMGysU/edit?usp=sharing"",""สบก!CI21"")"),0)</f>
        <v>0</v>
      </c>
      <c r="M279" s="50"/>
      <c r="N279" s="50">
        <f ca="1">IFERROR(__xludf.DUMMYFUNCTION("IMPORTRANGE(""https://docs.google.com/spreadsheets/d/1Yj_ptqi66GCucihVvJfMjLAmec39IyEx_6qawtMGysU/edit?usp=sharing"",""สบก!CM21"")"),0)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IFERROR(__xludf.DUMMYFUNCTION("IMPORTRANGE(""https://docs.google.com/spreadsheets/d/11923uPwbBZFjjGgGUA6NLw09EwE0CqkOc4q9oUmW1yo/edit?usp=sharing"",""เชียงราย!J191"")"),0)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IFERROR(__xludf.DUMMYFUNCTION("IMPORTRANGE(""https://docs.google.com/spreadsheets/d/11923uPwbBZFjjGgGUA6NLw09EwE0CqkOc4q9oUmW1yo/edit?usp=sharing"",""เชียงราย!J192"")"),1)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IFERROR(__xludf.DUMMYFUNCTION("IMPORTRANGE(""https://docs.google.com/spreadsheets/d/11923uPwbBZFjjGgGUA6NLw09EwE0CqkOc4q9oUmW1yo/edit?usp=sharing"",""เชียงราย!J193"")"),1)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IFERROR(__xludf.DUMMYFUNCTION("IMPORTRANGE(""https://docs.google.com/spreadsheets/d/11923uPwbBZFjjGgGUA6NLw09EwE0CqkOc4q9oUmW1yo/edit?usp=sharing"",""เชียงราย!J194"")"),1)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IFERROR(__xludf.DUMMYFUNCTION("IMPORTRANGE(""https://docs.google.com/spreadsheets/d/11923uPwbBZFjjGgGUA6NLw09EwE0CqkOc4q9oUmW1yo/edit?usp=sharing"",""เชียงราย!I195"")"),15)</f>
        <v>15</v>
      </c>
      <c r="J285" s="188">
        <f ca="1">IFERROR(__xludf.DUMMYFUNCTION("IMPORTRANGE(""https://docs.google.com/spreadsheets/d/11923uPwbBZFjjGgGUA6NLw09EwE0CqkOc4q9oUmW1yo/edit?usp=sharing"",""เชียงราย!J195"")"),15)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IFERROR(__xludf.DUMMYFUNCTION("IMPORTRANGE(""https://docs.google.com/spreadsheets/d/11923uPwbBZFjjGgGUA6NLw09EwE0CqkOc4q9oUmW1yo/edit?usp=sharing"",""เชียงราย!J196"")"),0)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IFERROR(__xludf.DUMMYFUNCTION("IMPORTRANGE(""https://docs.google.com/spreadsheets/d/11923uPwbBZFjjGgGUA6NLw09EwE0CqkOc4q9oUmW1yo/edit?usp=sharing"",""เชียงราย!J197"")"),0)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IFERROR(__xludf.DUMMYFUNCTION("IMPORTRANGE(""https://docs.google.com/spreadsheets/d/11923uPwbBZFjjGgGUA6NLw09EwE0CqkOc4q9oUmW1yo/edit?usp=sharing"",""เชียงราย!I199"")"),0)</f>
        <v>0</v>
      </c>
      <c r="J289" s="316">
        <f ca="1">IFERROR(__xludf.DUMMYFUNCTION("IMPORTRANGE(""https://docs.google.com/spreadsheets/d/11923uPwbBZFjjGgGUA6NLw09EwE0CqkOc4q9oUmW1yo/edit?usp=sharing"",""เชียงราย!J199"")"),0)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IFERROR(__xludf.DUMMYFUNCTION("IMPORTRANGE(""https://docs.google.com/spreadsheets/d/1Yj_ptqi66GCucihVvJfMjLAmec39IyEx_6qawtMGysU/edit?usp=sharing"",""สบก!CT21"")"),0)</f>
        <v>0</v>
      </c>
      <c r="N294" s="168">
        <f ca="1">IFERROR(__xludf.DUMMYFUNCTION("IMPORTRANGE(""https://docs.google.com/spreadsheets/d/1Yj_ptqi66GCucihVvJfMjLAmec39IyEx_6qawtMGysU/edit?usp=sharing"",""สบก!CU21"")"),0)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IFERROR(__xludf.DUMMYFUNCTION("IMPORTRANGE(""https://docs.google.com/spreadsheets/d/1Yj_ptqi66GCucihVvJfMjLAmec39IyEx_6qawtMGysU/edit?usp=sharing"",""สบก!CP21"")"),0)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IFERROR(__xludf.DUMMYFUNCTION("IMPORTRANGE(""https://docs.google.com/spreadsheets/d/1Yj_ptqi66GCucihVvJfMjLAmec39IyEx_6qawtMGysU/edit?usp=sharing"",""สบก!CQ21"")"),0)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IFERROR(__xludf.DUMMYFUNCTION("IMPORTRANGE(""https://docs.google.com/spreadsheets/d/1Yj_ptqi66GCucihVvJfMjLAmec39IyEx_6qawtMGysU/edit?usp=sharing"",""สบก!CR21"")"),0)</f>
        <v>0</v>
      </c>
      <c r="M298" s="50"/>
      <c r="N298" s="50">
        <f ca="1">IFERROR(__xludf.DUMMYFUNCTION("IMPORTRANGE(""https://docs.google.com/spreadsheets/d/1Yj_ptqi66GCucihVvJfMjLAmec39IyEx_6qawtMGysU/edit?usp=sharing"",""สบก!CV21"")"),0)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IFERROR(__xludf.DUMMYFUNCTION("IMPORTRANGE(""https://docs.google.com/spreadsheets/d/11923uPwbBZFjjGgGUA6NLw09EwE0CqkOc4q9oUmW1yo/edit?usp=sharing"",""เชียงราย!J205"")"),0)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IFERROR(__xludf.DUMMYFUNCTION("IMPORTRANGE(""https://docs.google.com/spreadsheets/d/11923uPwbBZFjjGgGUA6NLw09EwE0CqkOc4q9oUmW1yo/edit?usp=sharing"",""เชียงราย!J206"")"),0)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IFERROR(__xludf.DUMMYFUNCTION("IMPORTRANGE(""https://docs.google.com/spreadsheets/d/11923uPwbBZFjjGgGUA6NLw09EwE0CqkOc4q9oUmW1yo/edit?usp=sharing"",""เชียงราย!J207"")"),0)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IFERROR(__xludf.DUMMYFUNCTION("IMPORTRANGE(""https://docs.google.com/spreadsheets/d/11923uPwbBZFjjGgGUA6NLw09EwE0CqkOc4q9oUmW1yo/edit?usp=sharing"",""เชียงราย!J208"")"),0)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IFERROR(__xludf.DUMMYFUNCTION("IMPORTRANGE(""https://docs.google.com/spreadsheets/d/11923uPwbBZFjjGgGUA6NLw09EwE0CqkOc4q9oUmW1yo/edit?usp=sharing"",""เชียงราย!I209"")"),0)</f>
        <v>0</v>
      </c>
      <c r="J304" s="203">
        <f ca="1">IFERROR(__xludf.DUMMYFUNCTION("IMPORTRANGE(""https://docs.google.com/spreadsheets/d/11923uPwbBZFjjGgGUA6NLw09EwE0CqkOc4q9oUmW1yo/edit?usp=sharing"",""เชียงราย!J209"")"),0)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IFERROR(__xludf.DUMMYFUNCTION("IMPORTRANGE(""https://docs.google.com/spreadsheets/d/11923uPwbBZFjjGgGUA6NLw09EwE0CqkOc4q9oUmW1yo/edit?usp=sharing"",""เชียงราย!I211"")"),0)</f>
        <v>0</v>
      </c>
      <c r="J306" s="203">
        <f ca="1">IFERROR(__xludf.DUMMYFUNCTION("IMPORTRANGE(""https://docs.google.com/spreadsheets/d/11923uPwbBZFjjGgGUA6NLw09EwE0CqkOc4q9oUmW1yo/edit?usp=sharing"",""เชียงราย!J211"")"),0)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IFERROR(__xludf.DUMMYFUNCTION("IMPORTRANGE(""https://docs.google.com/spreadsheets/d/11923uPwbBZFjjGgGUA6NLw09EwE0CqkOc4q9oUmW1yo/edit?usp=sharing"",""เชียงราย!J212"")"),0)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IFERROR(__xludf.DUMMYFUNCTION("IMPORTRANGE(""https://docs.google.com/spreadsheets/d/11923uPwbBZFjjGgGUA6NLw09EwE0CqkOc4q9oUmW1yo/edit?usp=sharing"",""เชียงราย!J213"")"),0)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IFERROR(__xludf.DUMMYFUNCTION("IMPORTRANGE(""https://docs.google.com/spreadsheets/d/11923uPwbBZFjjGgGUA6NLw09EwE0CqkOc4q9oUmW1yo/edit?usp=sharing"",""เชียงราย!I214"")"),0)</f>
        <v>0</v>
      </c>
      <c r="J309" s="333">
        <f ca="1">IFERROR(__xludf.DUMMYFUNCTION("IMPORTRANGE(""https://docs.google.com/spreadsheets/d/11923uPwbBZFjjGgGUA6NLw09EwE0CqkOc4q9oUmW1yo/edit?usp=sharing"",""เชียงราย!J214"")"),0)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IFERROR(__xludf.DUMMYFUNCTION("IMPORTRANGE(""https://docs.google.com/spreadsheets/d/1Yj_ptqi66GCucihVvJfMjLAmec39IyEx_6qawtMGysU/edit?usp=sharing"",""สบก!DC21"")"),0)</f>
        <v>0</v>
      </c>
      <c r="N314" s="168">
        <f ca="1">IFERROR(__xludf.DUMMYFUNCTION("IMPORTRANGE(""https://docs.google.com/spreadsheets/d/1Yj_ptqi66GCucihVvJfMjLAmec39IyEx_6qawtMGysU/edit?usp=sharing"",""สบก!DD21"")"),0)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IFERROR(__xludf.DUMMYFUNCTION("IMPORTRANGE(""https://docs.google.com/spreadsheets/d/1Yj_ptqi66GCucihVvJfMjLAmec39IyEx_6qawtMGysU/edit?usp=sharing"",""สบก!CY21"")"),0)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IFERROR(__xludf.DUMMYFUNCTION("IMPORTRANGE(""https://docs.google.com/spreadsheets/d/1Yj_ptqi66GCucihVvJfMjLAmec39IyEx_6qawtMGysU/edit?usp=sharing"",""สบก!CZ21"")"),0)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IFERROR(__xludf.DUMMYFUNCTION("IMPORTRANGE(""https://docs.google.com/spreadsheets/d/1Yj_ptqi66GCucihVvJfMjLAmec39IyEx_6qawtMGysU/edit?usp=sharing"",""สบก!DA21"")"),0)</f>
        <v>0</v>
      </c>
      <c r="M318" s="50"/>
      <c r="N318" s="50">
        <f ca="1">IFERROR(__xludf.DUMMYFUNCTION("IMPORTRANGE(""https://docs.google.com/spreadsheets/d/1Yj_ptqi66GCucihVvJfMjLAmec39IyEx_6qawtMGysU/edit?usp=sharing"",""สบก!DE21"")"),0)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IFERROR(__xludf.DUMMYFUNCTION("IMPORTRANGE(""https://docs.google.com/spreadsheets/d/11923uPwbBZFjjGgGUA6NLw09EwE0CqkOc4q9oUmW1yo/edit?usp=sharing"",""เชียงราย!J220"")"),0)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IFERROR(__xludf.DUMMYFUNCTION("IMPORTRANGE(""https://docs.google.com/spreadsheets/d/11923uPwbBZFjjGgGUA6NLw09EwE0CqkOc4q9oUmW1yo/edit?usp=sharing"",""เชียงราย!J221"")"),0)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IFERROR(__xludf.DUMMYFUNCTION("IMPORTRANGE(""https://docs.google.com/spreadsheets/d/11923uPwbBZFjjGgGUA6NLw09EwE0CqkOc4q9oUmW1yo/edit?usp=sharing"",""เชียงราย!J222"")"),0)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IFERROR(__xludf.DUMMYFUNCTION("IMPORTRANGE(""https://docs.google.com/spreadsheets/d/11923uPwbBZFjjGgGUA6NLw09EwE0CqkOc4q9oUmW1yo/edit?usp=sharing"",""เชียงราย!J223"")"),0)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IFERROR(__xludf.DUMMYFUNCTION("IMPORTRANGE(""https://docs.google.com/spreadsheets/d/11923uPwbBZFjjGgGUA6NLw09EwE0CqkOc4q9oUmW1yo/edit?usp=sharing"",""เชียงราย!I224"")"),0)</f>
        <v>0</v>
      </c>
      <c r="J324" s="203">
        <f ca="1">IFERROR(__xludf.DUMMYFUNCTION("IMPORTRANGE(""https://docs.google.com/spreadsheets/d/11923uPwbBZFjjGgGUA6NLw09EwE0CqkOc4q9oUmW1yo/edit?usp=sharing"",""เชียงราย!J224"")"),0)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IFERROR(__xludf.DUMMYFUNCTION("IMPORTRANGE(""https://docs.google.com/spreadsheets/d/11923uPwbBZFjjGgGUA6NLw09EwE0CqkOc4q9oUmW1yo/edit?usp=sharing"",""เชียงราย!J225"")"),0)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IFERROR(__xludf.DUMMYFUNCTION("IMPORTRANGE(""https://docs.google.com/spreadsheets/d/11923uPwbBZFjjGgGUA6NLw09EwE0CqkOc4q9oUmW1yo/edit?usp=sharing"",""เชียงราย!J226"")"),0)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IFERROR(__xludf.DUMMYFUNCTION("IMPORTRANGE(""https://docs.google.com/spreadsheets/d/11923uPwbBZFjjGgGUA6NLw09EwE0CqkOc4q9oUmW1yo/edit?usp=sharing"",""เชียงราย!I228"")"),680)</f>
        <v>680</v>
      </c>
      <c r="J328" s="339">
        <f ca="1">IFERROR(__xludf.DUMMYFUNCTION("IMPORTRANGE(""https://docs.google.com/spreadsheets/d/11923uPwbBZFjjGgGUA6NLw09EwE0CqkOc4q9oUmW1yo/edit?usp=sharing"",""เชียงราย!J228"")"),548)</f>
        <v>548</v>
      </c>
      <c r="K328" s="317">
        <f ca="1">IF(I328&gt;0,J328*100/I328,0)</f>
        <v>80.588235294117652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1538870</v>
      </c>
      <c r="M329" s="152">
        <f t="shared" ca="1" si="98"/>
        <v>1581370</v>
      </c>
      <c r="N329" s="152">
        <f t="shared" ca="1" si="98"/>
        <v>1170767.6599999999</v>
      </c>
      <c r="O329" s="151">
        <f t="shared" ref="O329:O331" ca="1" si="99">IF(L329&gt;0,N329*100/L329,0)</f>
        <v>76.079698739984522</v>
      </c>
      <c r="P329" s="151">
        <f t="shared" ref="P329:P331" ca="1" si="100">IF(M329&gt;0,N329*100/M329,0)</f>
        <v>74.035024061415086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1538870</v>
      </c>
      <c r="M331" s="88">
        <f t="shared" ca="1" si="102"/>
        <v>1581370</v>
      </c>
      <c r="N331" s="88">
        <f t="shared" ca="1" si="102"/>
        <v>1170767.6599999999</v>
      </c>
      <c r="O331" s="156">
        <f t="shared" ca="1" si="99"/>
        <v>76.079698739984522</v>
      </c>
      <c r="P331" s="156">
        <f t="shared" ca="1" si="100"/>
        <v>74.035024061415086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1538870</v>
      </c>
      <c r="M333" s="167">
        <f ca="1">IFERROR(__xludf.DUMMYFUNCTION("IMPORTRANGE(""https://docs.google.com/spreadsheets/d/1Yj_ptqi66GCucihVvJfMjLAmec39IyEx_6qawtMGysU/edit?usp=sharing"",""สบก!DL21"")"),1581370)</f>
        <v>1581370</v>
      </c>
      <c r="N333" s="168">
        <f ca="1">IFERROR(__xludf.DUMMYFUNCTION("IMPORTRANGE(""https://docs.google.com/spreadsheets/d/1Yj_ptqi66GCucihVvJfMjLAmec39IyEx_6qawtMGysU/edit?usp=sharing"",""สบก!DM21"")"),1170767.66)</f>
        <v>1170767.6599999999</v>
      </c>
      <c r="O333" s="168">
        <f ca="1">IF(L333&gt;0,N333*100/L333,0)</f>
        <v>76.079698739984522</v>
      </c>
      <c r="P333" s="168">
        <f ca="1">IF(M333&gt;0,N333*100/M333,0)</f>
        <v>74.035024061415086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IFERROR(__xludf.DUMMYFUNCTION("IMPORTRANGE(""https://docs.google.com/spreadsheets/d/1Yj_ptqi66GCucihVvJfMjLAmec39IyEx_6qawtMGysU/edit?usp=sharing"",""สบก!DH21"")"),831600)</f>
        <v>831600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IFERROR(__xludf.DUMMYFUNCTION("IMPORTRANGE(""https://docs.google.com/spreadsheets/d/1Yj_ptqi66GCucihVvJfMjLAmec39IyEx_6qawtMGysU/edit?usp=sharing"",""สบก!DI21"")"),707270)</f>
        <v>707270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IFERROR(__xludf.DUMMYFUNCTION("IMPORTRANGE(""https://docs.google.com/spreadsheets/d/1Yj_ptqi66GCucihVvJfMjLAmec39IyEx_6qawtMGysU/edit?usp=sharing"",""สบก!DJ21"")"),0)</f>
        <v>0</v>
      </c>
      <c r="M337" s="50"/>
      <c r="N337" s="50">
        <f ca="1">IFERROR(__xludf.DUMMYFUNCTION("IMPORTRANGE(""https://docs.google.com/spreadsheets/d/1Yj_ptqi66GCucihVvJfMjLAmec39IyEx_6qawtMGysU/edit?usp=sharing"",""สบก!DN21"")"),0)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IFERROR(__xludf.DUMMYFUNCTION("IMPORTRANGE(""https://docs.google.com/spreadsheets/d/11923uPwbBZFjjGgGUA6NLw09EwE0CqkOc4q9oUmW1yo/edit?usp=sharing"",""เชียงราย!I234"")"),0)</f>
        <v>0</v>
      </c>
      <c r="J339" s="187">
        <f ca="1">IFERROR(__xludf.DUMMYFUNCTION("IMPORTRANGE(""https://docs.google.com/spreadsheets/d/11923uPwbBZFjjGgGUA6NLw09EwE0CqkOc4q9oUmW1yo/edit?usp=sharing"",""เชียงราย!J234"")"),469)</f>
        <v>469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IFERROR(__xludf.DUMMYFUNCTION("IMPORTRANGE(""https://docs.google.com/spreadsheets/d/11923uPwbBZFjjGgGUA6NLw09EwE0CqkOc4q9oUmW1yo/edit?usp=sharing"",""เชียงราย!I235"")"),3400)</f>
        <v>3400</v>
      </c>
      <c r="J340" s="187">
        <f ca="1">IFERROR(__xludf.DUMMYFUNCTION("IMPORTRANGE(""https://docs.google.com/spreadsheets/d/11923uPwbBZFjjGgGUA6NLw09EwE0CqkOc4q9oUmW1yo/edit?usp=sharing"",""เชียงราย!J235"")"),2700.43)</f>
        <v>2700.43</v>
      </c>
      <c r="K340" s="342">
        <f t="shared" ca="1" si="103"/>
        <v>79.42441176470588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IFERROR(__xludf.DUMMYFUNCTION("IMPORTRANGE(""https://docs.google.com/spreadsheets/d/11923uPwbBZFjjGgGUA6NLw09EwE0CqkOc4q9oUmW1yo/edit?usp=sharing"",""เชียงราย!I236"")"),680)</f>
        <v>680</v>
      </c>
      <c r="J341" s="187">
        <f ca="1">IFERROR(__xludf.DUMMYFUNCTION("IMPORTRANGE(""https://docs.google.com/spreadsheets/d/11923uPwbBZFjjGgGUA6NLw09EwE0CqkOc4q9oUmW1yo/edit?usp=sharing"",""เชียงราย!J236"")"),582)</f>
        <v>582</v>
      </c>
      <c r="K341" s="342">
        <f t="shared" ca="1" si="103"/>
        <v>85.588235294117652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IFERROR(__xludf.DUMMYFUNCTION("IMPORTRANGE(""https://docs.google.com/spreadsheets/d/11923uPwbBZFjjGgGUA6NLw09EwE0CqkOc4q9oUmW1yo/edit?usp=sharing"",""เชียงราย!I237"")"),0)</f>
        <v>0</v>
      </c>
      <c r="J342" s="187">
        <f ca="1">IFERROR(__xludf.DUMMYFUNCTION("IMPORTRANGE(""https://docs.google.com/spreadsheets/d/11923uPwbBZFjjGgGUA6NLw09EwE0CqkOc4q9oUmW1yo/edit?usp=sharing"",""เชียงราย!J237"")"),3850.87)</f>
        <v>3850.87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IFERROR(__xludf.DUMMYFUNCTION("IMPORTRANGE(""https://docs.google.com/spreadsheets/d/11923uPwbBZFjjGgGUA6NLw09EwE0CqkOc4q9oUmW1yo/edit?usp=sharing"",""เชียงราย!I238"")"),680)</f>
        <v>680</v>
      </c>
      <c r="J343" s="187">
        <f ca="1">IFERROR(__xludf.DUMMYFUNCTION("IMPORTRANGE(""https://docs.google.com/spreadsheets/d/11923uPwbBZFjjGgGUA6NLw09EwE0CqkOc4q9oUmW1yo/edit?usp=sharing"",""เชียงราย!J238"")"),0)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IFERROR(__xludf.DUMMYFUNCTION("IMPORTRANGE(""https://docs.google.com/spreadsheets/d/11923uPwbBZFjjGgGUA6NLw09EwE0CqkOc4q9oUmW1yo/edit?usp=sharing"",""เชียงราย!I239"")"),0)</f>
        <v>0</v>
      </c>
      <c r="J344" s="187">
        <f ca="1">IFERROR(__xludf.DUMMYFUNCTION("IMPORTRANGE(""https://docs.google.com/spreadsheets/d/11923uPwbBZFjjGgGUA6NLw09EwE0CqkOc4q9oUmW1yo/edit?usp=sharing"",""เชียงราย!J239"")"),0)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IFERROR(__xludf.DUMMYFUNCTION("IMPORTRANGE(""https://docs.google.com/spreadsheets/d/11923uPwbBZFjjGgGUA6NLw09EwE0CqkOc4q9oUmW1yo/edit?usp=sharing"",""เชียงราย!I240"")"),680)</f>
        <v>680</v>
      </c>
      <c r="J345" s="187">
        <f ca="1">IFERROR(__xludf.DUMMYFUNCTION("IMPORTRANGE(""https://docs.google.com/spreadsheets/d/11923uPwbBZFjjGgGUA6NLw09EwE0CqkOc4q9oUmW1yo/edit?usp=sharing"",""เชียงราย!J240"")"),548)</f>
        <v>548</v>
      </c>
      <c r="K345" s="342">
        <f t="shared" ca="1" si="103"/>
        <v>80.588235294117652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IFERROR(__xludf.DUMMYFUNCTION("IMPORTRANGE(""https://docs.google.com/spreadsheets/d/11923uPwbBZFjjGgGUA6NLw09EwE0CqkOc4q9oUmW1yo/edit?usp=sharing"",""เชียงราย!I241"")"),0)</f>
        <v>0</v>
      </c>
      <c r="J346" s="187">
        <f ca="1">IFERROR(__xludf.DUMMYFUNCTION("IMPORTRANGE(""https://docs.google.com/spreadsheets/d/11923uPwbBZFjjGgGUA6NLw09EwE0CqkOc4q9oUmW1yo/edit?usp=sharing"",""เชียงราย!J241"")"),3593.04)</f>
        <v>3593.04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IFERROR(__xludf.DUMMYFUNCTION("IMPORTRANGE(""https://docs.google.com/spreadsheets/d/11923uPwbBZFjjGgGUA6NLw09EwE0CqkOc4q9oUmW1yo/edit?usp=sharing"",""เชียงราย!L242"")"),2470819)</f>
        <v>2470819</v>
      </c>
      <c r="M347" s="357"/>
      <c r="N347" s="357">
        <f ca="1">IFERROR(__xludf.DUMMYFUNCTION("IMPORTRANGE(""https://docs.google.com/spreadsheets/d/11923uPwbBZFjjGgGUA6NLw09EwE0CqkOc4q9oUmW1yo/edit?usp=sharing"",""เชียงราย!M242"")"),1267653.53999999)</f>
        <v>1267653.53999999</v>
      </c>
      <c r="O347" s="357">
        <f ca="1">+IF(L347&gt;0,N347*100/L347,0)</f>
        <v>51.304994012106512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IFERROR(__xludf.DUMMYFUNCTION("IMPORTRANGE(""https://docs.google.com/spreadsheets/d/11923uPwbBZFjjGgGUA6NLw09EwE0CqkOc4q9oUmW1yo/edit?usp=sharing"",""เชียงราย!I244"")"),200)</f>
        <v>200</v>
      </c>
      <c r="J349" s="370">
        <f ca="1">IFERROR(__xludf.DUMMYFUNCTION("IMPORTRANGE(""https://docs.google.com/spreadsheets/d/11923uPwbBZFjjGgGUA6NLw09EwE0CqkOc4q9oUmW1yo/edit?usp=sharing"",""เชียงราย!J244"")"),93)</f>
        <v>93</v>
      </c>
      <c r="K349" s="371">
        <f t="shared" ref="K349:K350" ca="1" si="104">IF(I349&gt;0,J349*100/I349,0)</f>
        <v>46.5</v>
      </c>
      <c r="L349" s="372">
        <f ca="1">IFERROR(__xludf.DUMMYFUNCTION("IMPORTRANGE(""https://docs.google.com/spreadsheets/d/11923uPwbBZFjjGgGUA6NLw09EwE0CqkOc4q9oUmW1yo/edit?usp=sharing"",""เชียงราย!L244"")"),532200)</f>
        <v>532200</v>
      </c>
      <c r="M349" s="372"/>
      <c r="N349" s="372">
        <f ca="1">IFERROR(__xludf.DUMMYFUNCTION("IMPORTRANGE(""https://docs.google.com/spreadsheets/d/11923uPwbBZFjjGgGUA6NLw09EwE0CqkOc4q9oUmW1yo/edit?usp=sharing"",""เชียงราย!M244"")"),276011)</f>
        <v>276011</v>
      </c>
      <c r="O349" s="372">
        <f ca="1">+IF(L349&gt;0,N349*100/L349,0)</f>
        <v>51.862269823374675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IFERROR(__xludf.DUMMYFUNCTION("IMPORTRANGE(""https://docs.google.com/spreadsheets/d/11923uPwbBZFjjGgGUA6NLw09EwE0CqkOc4q9oUmW1yo/edit?usp=sharing"",""เชียงราย!I245"")"),100)</f>
        <v>100</v>
      </c>
      <c r="J350" s="370">
        <f ca="1">IFERROR(__xludf.DUMMYFUNCTION("IMPORTRANGE(""https://docs.google.com/spreadsheets/d/11923uPwbBZFjjGgGUA6NLw09EwE0CqkOc4q9oUmW1yo/edit?usp=sharing"",""เชียงราย!J245"")"),100)</f>
        <v>100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IFERROR(__xludf.DUMMYFUNCTION("IMPORTRANGE(""https://docs.google.com/spreadsheets/d/11923uPwbBZFjjGgGUA6NLw09EwE0CqkOc4q9oUmW1yo/edit?usp=sharing"",""เชียงราย!L246"")"),0)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IFERROR(__xludf.DUMMYFUNCTION("IMPORTRANGE(""https://docs.google.com/spreadsheets/d/11923uPwbBZFjjGgGUA6NLw09EwE0CqkOc4q9oUmW1yo/edit?usp=sharing"",""เชียงราย!M246"")"),0)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IFERROR(__xludf.DUMMYFUNCTION("IMPORTRANGE(""https://docs.google.com/spreadsheets/d/11923uPwbBZFjjGgGUA6NLw09EwE0CqkOc4q9oUmW1yo/edit?usp=sharing"",""เชียงราย!L247"")"),532200)</f>
        <v>532200</v>
      </c>
      <c r="M352" s="165"/>
      <c r="N352" s="164">
        <f ca="1">IFERROR(__xludf.DUMMYFUNCTION("IMPORTRANGE(""https://docs.google.com/spreadsheets/d/11923uPwbBZFjjGgGUA6NLw09EwE0CqkOc4q9oUmW1yo/edit?usp=sharing"",""เชียงราย!M247"")"),276011)</f>
        <v>276011</v>
      </c>
      <c r="O352" s="165">
        <f t="shared" ca="1" si="105"/>
        <v>51.862269823374675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IFERROR(__xludf.DUMMYFUNCTION("IMPORTRANGE(""https://docs.google.com/spreadsheets/d/11923uPwbBZFjjGgGUA6NLw09EwE0CqkOc4q9oUmW1yo/edit?usp=sharing"",""เชียงราย!L248"")"),0)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IFERROR(__xludf.DUMMYFUNCTION("IMPORTRANGE(""https://docs.google.com/spreadsheets/d/11923uPwbBZFjjGgGUA6NLw09EwE0CqkOc4q9oUmW1yo/edit?usp=sharing"",""เชียงราย!M248"")"),0)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IFERROR(__xludf.DUMMYFUNCTION("IMPORTRANGE(""https://docs.google.com/spreadsheets/d/11923uPwbBZFjjGgGUA6NLw09EwE0CqkOc4q9oUmW1yo/edit?usp=sharing"",""เชียงราย!L249"")"),532200)</f>
        <v>532200</v>
      </c>
      <c r="M354" s="168"/>
      <c r="N354" s="167">
        <f ca="1">IFERROR(__xludf.DUMMYFUNCTION("IMPORTRANGE(""https://docs.google.com/spreadsheets/d/11923uPwbBZFjjGgGUA6NLw09EwE0CqkOc4q9oUmW1yo/edit?usp=sharing"",""เชียงราย!M249"")"),276011)</f>
        <v>276011</v>
      </c>
      <c r="O354" s="168">
        <f t="shared" ca="1" si="105"/>
        <v>51.862269823374675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IFERROR(__xludf.DUMMYFUNCTION("IMPORTRANGE(""https://docs.google.com/spreadsheets/d/11923uPwbBZFjjGgGUA6NLw09EwE0CqkOc4q9oUmW1yo/edit?usp=sharing"",""เชียงราย!M250"")"),0)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IFERROR(__xludf.DUMMYFUNCTION("IMPORTRANGE(""https://docs.google.com/spreadsheets/d/11923uPwbBZFjjGgGUA6NLw09EwE0CqkOc4q9oUmW1yo/edit?usp=sharing"",""เชียงราย!M251"")"),0)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IFERROR(__xludf.DUMMYFUNCTION("IMPORTRANGE(""https://docs.google.com/spreadsheets/d/11923uPwbBZFjjGgGUA6NLw09EwE0CqkOc4q9oUmW1yo/edit?usp=sharing"",""เชียงราย!M252"")"),79450)</f>
        <v>79450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IFERROR(__xludf.DUMMYFUNCTION("IMPORTRANGE(""https://docs.google.com/spreadsheets/d/11923uPwbBZFjjGgGUA6NLw09EwE0CqkOc4q9oUmW1yo/edit?usp=sharing"",""เชียงราย!M253"")"),196561)</f>
        <v>196561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IFERROR(__xludf.DUMMYFUNCTION("IMPORTRANGE(""https://docs.google.com/spreadsheets/d/11923uPwbBZFjjGgGUA6NLw09EwE0CqkOc4q9oUmW1yo/edit?usp=sharing"",""เชียงราย!J255"")"),0)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IFERROR(__xludf.DUMMYFUNCTION("IMPORTRANGE(""https://docs.google.com/spreadsheets/d/11923uPwbBZFjjGgGUA6NLw09EwE0CqkOc4q9oUmW1yo/edit?usp=sharing"",""เชียงราย!J256"")"),1)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IFERROR(__xludf.DUMMYFUNCTION("IMPORTRANGE(""https://docs.google.com/spreadsheets/d/11923uPwbBZFjjGgGUA6NLw09EwE0CqkOc4q9oUmW1yo/edit?usp=sharing"",""เชียงราย!J257"")"),1)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IFERROR(__xludf.DUMMYFUNCTION("IMPORTRANGE(""https://docs.google.com/spreadsheets/d/11923uPwbBZFjjGgGUA6NLw09EwE0CqkOc4q9oUmW1yo/edit?usp=sharing"",""เชียงราย!J258"")"),1)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IFERROR(__xludf.DUMMYFUNCTION("IMPORTRANGE(""https://docs.google.com/spreadsheets/d/11923uPwbBZFjjGgGUA6NLw09EwE0CqkOc4q9oUmW1yo/edit?usp=sharing"",""เชียงราย!J166"")"),0)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IFERROR(__xludf.DUMMYFUNCTION("IMPORTRANGE(""https://docs.google.com/spreadsheets/d/11923uPwbBZFjjGgGUA6NLw09EwE0CqkOc4q9oUmW1yo/edit?usp=sharing"",""เชียงราย!J166"")"),0)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IFERROR(__xludf.DUMMYFUNCTION("IMPORTRANGE(""https://docs.google.com/spreadsheets/d/11923uPwbBZFjjGgGUA6NLw09EwE0CqkOc4q9oUmW1yo/edit?usp=sharing"",""เชียงราย!J166"")"),0)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IFERROR(__xludf.DUMMYFUNCTION("IMPORTRANGE(""https://docs.google.com/spreadsheets/d/11923uPwbBZFjjGgGUA6NLw09EwE0CqkOc4q9oUmW1yo/edit?usp=sharing"",""เชียงราย!J166"")"),0)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IFERROR(__xludf.DUMMYFUNCTION("IMPORTRANGE(""https://docs.google.com/spreadsheets/d/11923uPwbBZFjjGgGUA6NLw09EwE0CqkOc4q9oUmW1yo/edit?usp=sharing"",""เชียงราย!I263"")"),100)</f>
        <v>100</v>
      </c>
      <c r="J368" s="187">
        <f ca="1">IFERROR(__xludf.DUMMYFUNCTION("IMPORTRANGE(""https://docs.google.com/spreadsheets/d/11923uPwbBZFjjGgGUA6NLw09EwE0CqkOc4q9oUmW1yo/edit?usp=sharing"",""เชียงราย!J263"")"),100)</f>
        <v>100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IFERROR(__xludf.DUMMYFUNCTION("IMPORTRANGE(""https://docs.google.com/spreadsheets/d/11923uPwbBZFjjGgGUA6NLw09EwE0CqkOc4q9oUmW1yo/edit?usp=sharing"",""เชียงราย!I164"")"),0)</f>
        <v>0</v>
      </c>
      <c r="J369" s="203">
        <f ca="1">IFERROR(__xludf.DUMMYFUNCTION("IMPORTRANGE(""https://docs.google.com/spreadsheets/d/11923uPwbBZFjjGgGUA6NLw09EwE0CqkOc4q9oUmW1yo/edit?usp=sharing"",""เชียงราย!J164"")"),0)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IFERROR(__xludf.DUMMYFUNCTION("IMPORTRANGE(""https://docs.google.com/spreadsheets/d/11923uPwbBZFjjGgGUA6NLw09EwE0CqkOc4q9oUmW1yo/edit?usp=sharing"",""เชียงราย!I265"")"),100)</f>
        <v>100</v>
      </c>
      <c r="J370" s="203">
        <f ca="1">IFERROR(__xludf.DUMMYFUNCTION("IMPORTRANGE(""https://docs.google.com/spreadsheets/d/11923uPwbBZFjjGgGUA6NLw09EwE0CqkOc4q9oUmW1yo/edit?usp=sharing"",""เชียงราย!J265"")"),100)</f>
        <v>100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IFERROR(__xludf.DUMMYFUNCTION("IMPORTRANGE(""https://docs.google.com/spreadsheets/d/11923uPwbBZFjjGgGUA6NLw09EwE0CqkOc4q9oUmW1yo/edit?usp=sharing"",""เชียงราย!I164"")"),0)</f>
        <v>0</v>
      </c>
      <c r="J371" s="188">
        <f ca="1">IFERROR(__xludf.DUMMYFUNCTION("IMPORTRANGE(""https://docs.google.com/spreadsheets/d/11923uPwbBZFjjGgGUA6NLw09EwE0CqkOc4q9oUmW1yo/edit?usp=sharing"",""เชียงราย!J164"")"),0)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IFERROR(__xludf.DUMMYFUNCTION("IMPORTRANGE(""https://docs.google.com/spreadsheets/d/11923uPwbBZFjjGgGUA6NLw09EwE0CqkOc4q9oUmW1yo/edit?usp=sharing"",""เชียงราย!I267"")"),100)</f>
        <v>100</v>
      </c>
      <c r="J372" s="188">
        <f ca="1">IFERROR(__xludf.DUMMYFUNCTION("IMPORTRANGE(""https://docs.google.com/spreadsheets/d/11923uPwbBZFjjGgGUA6NLw09EwE0CqkOc4q9oUmW1yo/edit?usp=sharing"",""เชียงราย!J267"")"),100)</f>
        <v>100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IFERROR(__xludf.DUMMYFUNCTION("IMPORTRANGE(""https://docs.google.com/spreadsheets/d/11923uPwbBZFjjGgGUA6NLw09EwE0CqkOc4q9oUmW1yo/edit?usp=sharing"",""เชียงราย!I164"")"),0)</f>
        <v>0</v>
      </c>
      <c r="J373" s="203">
        <f ca="1">IFERROR(__xludf.DUMMYFUNCTION("IMPORTRANGE(""https://docs.google.com/spreadsheets/d/11923uPwbBZFjjGgGUA6NLw09EwE0CqkOc4q9oUmW1yo/edit?usp=sharing"",""เชียงราย!J164"")"),0)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IFERROR(__xludf.DUMMYFUNCTION("IMPORTRANGE(""https://docs.google.com/spreadsheets/d/11923uPwbBZFjjGgGUA6NLw09EwE0CqkOc4q9oUmW1yo/edit?usp=sharing"",""เชียงราย!I164"")"),0)</f>
        <v>0</v>
      </c>
      <c r="J374" s="187">
        <f ca="1">IFERROR(__xludf.DUMMYFUNCTION("IMPORTRANGE(""https://docs.google.com/spreadsheets/d/11923uPwbBZFjjGgGUA6NLw09EwE0CqkOc4q9oUmW1yo/edit?usp=sharing"",""เชียงราย!J164"")"),0)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IFERROR(__xludf.DUMMYFUNCTION("IMPORTRANGE(""https://docs.google.com/spreadsheets/d/11923uPwbBZFjjGgGUA6NLw09EwE0CqkOc4q9oUmW1yo/edit?usp=sharing"",""เชียงราย!I270"")"),200)</f>
        <v>200</v>
      </c>
      <c r="J375" s="187">
        <f ca="1">IFERROR(__xludf.DUMMYFUNCTION("IMPORTRANGE(""https://docs.google.com/spreadsheets/d/11923uPwbBZFjjGgGUA6NLw09EwE0CqkOc4q9oUmW1yo/edit?usp=sharing"",""เชียงราย!J270"")"),93)</f>
        <v>93</v>
      </c>
      <c r="K375" s="163">
        <f t="shared" ref="K375:K377" ca="1" si="107">IF(I375&gt;0,J375*100/I375,0)</f>
        <v>46.5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IFERROR(__xludf.DUMMYFUNCTION("IMPORTRANGE(""https://docs.google.com/spreadsheets/d/11923uPwbBZFjjGgGUA6NLw09EwE0CqkOc4q9oUmW1yo/edit?usp=sharing"",""เชียงราย!I271"")"),100)</f>
        <v>100</v>
      </c>
      <c r="J376" s="188">
        <f ca="1">IFERROR(__xludf.DUMMYFUNCTION("IMPORTRANGE(""https://docs.google.com/spreadsheets/d/11923uPwbBZFjjGgGUA6NLw09EwE0CqkOc4q9oUmW1yo/edit?usp=sharing"",""เชียงราย!J271"")"),93)</f>
        <v>93</v>
      </c>
      <c r="K376" s="163">
        <f t="shared" ca="1" si="107"/>
        <v>93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IFERROR(__xludf.DUMMYFUNCTION("IMPORTRANGE(""https://docs.google.com/spreadsheets/d/11923uPwbBZFjjGgGUA6NLw09EwE0CqkOc4q9oUmW1yo/edit?usp=sharing"",""เชียงราย!I272"")"),100)</f>
        <v>100</v>
      </c>
      <c r="J377" s="203">
        <f ca="1">IFERROR(__xludf.DUMMYFUNCTION("IMPORTRANGE(""https://docs.google.com/spreadsheets/d/11923uPwbBZFjjGgGUA6NLw09EwE0CqkOc4q9oUmW1yo/edit?usp=sharing"",""เชียงราย!J272"")"),0)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IFERROR(__xludf.DUMMYFUNCTION("IMPORTRANGE(""https://docs.google.com/spreadsheets/d/11923uPwbBZFjjGgGUA6NLw09EwE0CqkOc4q9oUmW1yo/edit?usp=sharing"",""เชียงราย!J273"")"),0)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IFERROR(__xludf.DUMMYFUNCTION("IMPORTRANGE(""https://docs.google.com/spreadsheets/d/11923uPwbBZFjjGgGUA6NLw09EwE0CqkOc4q9oUmW1yo/edit?usp=sharing"",""เชียงราย!J274"")"),0)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IFERROR(__xludf.DUMMYFUNCTION("IMPORTRANGE(""https://docs.google.com/spreadsheets/d/11923uPwbBZFjjGgGUA6NLw09EwE0CqkOc4q9oUmW1yo/edit?usp=sharing"",""เชียงราย!I275"")"),500)</f>
        <v>500</v>
      </c>
      <c r="J380" s="370">
        <f ca="1">IFERROR(__xludf.DUMMYFUNCTION("IMPORTRANGE(""https://docs.google.com/spreadsheets/d/11923uPwbBZFjjGgGUA6NLw09EwE0CqkOc4q9oUmW1yo/edit?usp=sharing"",""เชียงราย!J275"")"),0)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IFERROR(__xludf.DUMMYFUNCTION("IMPORTRANGE(""https://docs.google.com/spreadsheets/d/11923uPwbBZFjjGgGUA6NLw09EwE0CqkOc4q9oUmW1yo/edit?usp=sharing"",""เชียงราย!L275"")"),460140)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IFERROR(__xludf.DUMMYFUNCTION("IMPORTRANGE(""https://docs.google.com/spreadsheets/d/11923uPwbBZFjjGgGUA6NLw09EwE0CqkOc4q9oUmW1yo/edit?usp=sharing"",""เชียงราย!M275"")"),138000)</f>
        <v>138000</v>
      </c>
      <c r="O380" s="372">
        <f ca="1">+IF(L380&gt;0,N380*100/L380,0)</f>
        <v>29.990872343199896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IFERROR(__xludf.DUMMYFUNCTION("IMPORTRANGE(""https://docs.google.com/spreadsheets/d/11923uPwbBZFjjGgGUA6NLw09EwE0CqkOc4q9oUmW1yo/edit?usp=sharing"",""เชียงราย!I276"")"),50)</f>
        <v>50</v>
      </c>
      <c r="J381" s="370">
        <f ca="1">IFERROR(__xludf.DUMMYFUNCTION("IMPORTRANGE(""https://docs.google.com/spreadsheets/d/11923uPwbBZFjjGgGUA6NLw09EwE0CqkOc4q9oUmW1yo/edit?usp=sharing"",""เชียงราย!J276"")"),70)</f>
        <v>70</v>
      </c>
      <c r="K381" s="371">
        <f t="shared" ca="1" si="108"/>
        <v>140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IFERROR(__xludf.DUMMYFUNCTION("IMPORTRANGE(""https://docs.google.com/spreadsheets/d/11923uPwbBZFjjGgGUA6NLw09EwE0CqkOc4q9oUmW1yo/edit?usp=sharing"",""เชียงราย!L277"")"),0)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IFERROR(__xludf.DUMMYFUNCTION("IMPORTRANGE(""https://docs.google.com/spreadsheets/d/11923uPwbBZFjjGgGUA6NLw09EwE0CqkOc4q9oUmW1yo/edit?usp=sharing"",""เชียงราย!M277"")"),0)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IFERROR(__xludf.DUMMYFUNCTION("IMPORTRANGE(""https://docs.google.com/spreadsheets/d/11923uPwbBZFjjGgGUA6NLw09EwE0CqkOc4q9oUmW1yo/edit?usp=sharing"",""เชียงราย!L278"")"),460140)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IFERROR(__xludf.DUMMYFUNCTION("IMPORTRANGE(""https://docs.google.com/spreadsheets/d/11923uPwbBZFjjGgGUA6NLw09EwE0CqkOc4q9oUmW1yo/edit?usp=sharing"",""เชียงราย!M278"")"),138000)</f>
        <v>138000</v>
      </c>
      <c r="O383" s="165">
        <f t="shared" ca="1" si="109"/>
        <v>29.990872343199896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IFERROR(__xludf.DUMMYFUNCTION("IMPORTRANGE(""https://docs.google.com/spreadsheets/d/11923uPwbBZFjjGgGUA6NLw09EwE0CqkOc4q9oUmW1yo/edit?usp=sharing"",""เชียงราย!L279"")"),0)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IFERROR(__xludf.DUMMYFUNCTION("IMPORTRANGE(""https://docs.google.com/spreadsheets/d/11923uPwbBZFjjGgGUA6NLw09EwE0CqkOc4q9oUmW1yo/edit?usp=sharing"",""เชียงราย!M279"")"),0)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IFERROR(__xludf.DUMMYFUNCTION("IMPORTRANGE(""https://docs.google.com/spreadsheets/d/11923uPwbBZFjjGgGUA6NLw09EwE0CqkOc4q9oUmW1yo/edit?usp=sharing"",""เชียงราย!L280"")"),460140)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IFERROR(__xludf.DUMMYFUNCTION("IMPORTRANGE(""https://docs.google.com/spreadsheets/d/11923uPwbBZFjjGgGUA6NLw09EwE0CqkOc4q9oUmW1yo/edit?usp=sharing"",""เชียงราย!M280"")"),138000)</f>
        <v>138000</v>
      </c>
      <c r="O385" s="168">
        <f t="shared" ca="1" si="109"/>
        <v>29.990872343199896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IFERROR(__xludf.DUMMYFUNCTION("IMPORTRANGE(""https://docs.google.com/spreadsheets/d/11923uPwbBZFjjGgGUA6NLw09EwE0CqkOc4q9oUmW1yo/edit?usp=sharing"",""เชียงราย!M281"")"),111000)</f>
        <v>111000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IFERROR(__xludf.DUMMYFUNCTION("IMPORTRANGE(""https://docs.google.com/spreadsheets/d/11923uPwbBZFjjGgGUA6NLw09EwE0CqkOc4q9oUmW1yo/edit?usp=sharing"",""เชียงราย!M282"")"),0)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IFERROR(__xludf.DUMMYFUNCTION("IMPORTRANGE(""https://docs.google.com/spreadsheets/d/11923uPwbBZFjjGgGUA6NLw09EwE0CqkOc4q9oUmW1yo/edit?usp=sharing"",""เชียงราย!M283"")"),0)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IFERROR(__xludf.DUMMYFUNCTION("IMPORTRANGE(""https://docs.google.com/spreadsheets/d/11923uPwbBZFjjGgGUA6NLw09EwE0CqkOc4q9oUmW1yo/edit?usp=sharing"",""เชียงราย!M284"")"),27000)</f>
        <v>27000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IFERROR(__xludf.DUMMYFUNCTION("IMPORTRANGE(""https://docs.google.com/spreadsheets/d/11923uPwbBZFjjGgGUA6NLw09EwE0CqkOc4q9oUmW1yo/edit?usp=sharing"",""เชียงราย!J286"")"),0)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IFERROR(__xludf.DUMMYFUNCTION("IMPORTRANGE(""https://docs.google.com/spreadsheets/d/11923uPwbBZFjjGgGUA6NLw09EwE0CqkOc4q9oUmW1yo/edit?usp=sharing"",""เชียงราย!J287"")"),1)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IFERROR(__xludf.DUMMYFUNCTION("IMPORTRANGE(""https://docs.google.com/spreadsheets/d/11923uPwbBZFjjGgGUA6NLw09EwE0CqkOc4q9oUmW1yo/edit?usp=sharing"",""เชียงราย!J288"")"),1)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IFERROR(__xludf.DUMMYFUNCTION("IMPORTRANGE(""https://docs.google.com/spreadsheets/d/11923uPwbBZFjjGgGUA6NLw09EwE0CqkOc4q9oUmW1yo/edit?usp=sharing"",""เชียงราย!J289"")"),1)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IFERROR(__xludf.DUMMYFUNCTION("IMPORTRANGE(""https://docs.google.com/spreadsheets/d/11923uPwbBZFjjGgGUA6NLw09EwE0CqkOc4q9oUmW1yo/edit?usp=sharing"",""เชียงราย!I291"")"),50)</f>
        <v>50</v>
      </c>
      <c r="J396" s="197">
        <f ca="1">IFERROR(__xludf.DUMMYFUNCTION("IMPORTRANGE(""https://docs.google.com/spreadsheets/d/11923uPwbBZFjjGgGUA6NLw09EwE0CqkOc4q9oUmW1yo/edit?usp=sharing"",""เชียงราย!J291"")"),70)</f>
        <v>70</v>
      </c>
      <c r="K396" s="163">
        <f t="shared" ref="K396:K398" ca="1" si="110">IF(I396&gt;0,J396*100/I396,0)</f>
        <v>140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IFERROR(__xludf.DUMMYFUNCTION("IMPORTRANGE(""https://docs.google.com/spreadsheets/d/11923uPwbBZFjjGgGUA6NLw09EwE0CqkOc4q9oUmW1yo/edit?usp=sharing"",""เชียงราย!I292"")"),500)</f>
        <v>500</v>
      </c>
      <c r="J397" s="197">
        <f ca="1">IFERROR(__xludf.DUMMYFUNCTION("IMPORTRANGE(""https://docs.google.com/spreadsheets/d/11923uPwbBZFjjGgGUA6NLw09EwE0CqkOc4q9oUmW1yo/edit?usp=sharing"",""เชียงราย!J292"")"),0)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IFERROR(__xludf.DUMMYFUNCTION("IMPORTRANGE(""https://docs.google.com/spreadsheets/d/11923uPwbBZFjjGgGUA6NLw09EwE0CqkOc4q9oUmW1yo/edit?usp=sharing"",""เชียงราย!I293"")"),50)</f>
        <v>50</v>
      </c>
      <c r="J398" s="197">
        <f ca="1">IFERROR(__xludf.DUMMYFUNCTION("IMPORTRANGE(""https://docs.google.com/spreadsheets/d/11923uPwbBZFjjGgGUA6NLw09EwE0CqkOc4q9oUmW1yo/edit?usp=sharing"",""เชียงราย!J293"")"),0)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IFERROR(__xludf.DUMMYFUNCTION("IMPORTRANGE(""https://docs.google.com/spreadsheets/d/11923uPwbBZFjjGgGUA6NLw09EwE0CqkOc4q9oUmW1yo/edit?usp=sharing"",""เชียงราย!J294"")"),0)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IFERROR(__xludf.DUMMYFUNCTION("IMPORTRANGE(""https://docs.google.com/spreadsheets/d/11923uPwbBZFjjGgGUA6NLw09EwE0CqkOc4q9oUmW1yo/edit?usp=sharing"",""เชียงราย!J295"")"),0)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IFERROR(__xludf.DUMMYFUNCTION("IMPORTRANGE(""https://docs.google.com/spreadsheets/d/11923uPwbBZFjjGgGUA6NLw09EwE0CqkOc4q9oUmW1yo/edit?usp=sharing"",""เชียงราย!I296"")"),174)</f>
        <v>174</v>
      </c>
      <c r="J401" s="370">
        <f ca="1">IFERROR(__xludf.DUMMYFUNCTION("IMPORTRANGE(""https://docs.google.com/spreadsheets/d/11923uPwbBZFjjGgGUA6NLw09EwE0CqkOc4q9oUmW1yo/edit?usp=sharing"",""เชียงราย!J296"")"),174)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IFERROR(__xludf.DUMMYFUNCTION("IMPORTRANGE(""https://docs.google.com/spreadsheets/d/11923uPwbBZFjjGgGUA6NLw09EwE0CqkOc4q9oUmW1yo/edit?usp=sharing"",""เชียงราย!L296"")"),195900)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IFERROR(__xludf.DUMMYFUNCTION("IMPORTRANGE(""https://docs.google.com/spreadsheets/d/11923uPwbBZFjjGgGUA6NLw09EwE0CqkOc4q9oUmW1yo/edit?usp=sharing"",""เชียงราย!M296"")"),194774.95)</f>
        <v>194774.95</v>
      </c>
      <c r="O401" s="372">
        <f ca="1">+IF(L401&gt;0,N401*100/L401,0)</f>
        <v>99.425701888718734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IFERROR(__xludf.DUMMYFUNCTION("IMPORTRANGE(""https://docs.google.com/spreadsheets/d/11923uPwbBZFjjGgGUA6NLw09EwE0CqkOc4q9oUmW1yo/edit?usp=sharing"",""เชียงราย!I297"")"),58)</f>
        <v>58</v>
      </c>
      <c r="J402" s="370">
        <f ca="1">IFERROR(__xludf.DUMMYFUNCTION("IMPORTRANGE(""https://docs.google.com/spreadsheets/d/11923uPwbBZFjjGgGUA6NLw09EwE0CqkOc4q9oUmW1yo/edit?usp=sharing"",""เชียงราย!J297"")"),58)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IFERROR(__xludf.DUMMYFUNCTION("IMPORTRANGE(""https://docs.google.com/spreadsheets/d/11923uPwbBZFjjGgGUA6NLw09EwE0CqkOc4q9oUmW1yo/edit?usp=sharing"",""เชียงราย!L298"")"),0)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IFERROR(__xludf.DUMMYFUNCTION("IMPORTRANGE(""https://docs.google.com/spreadsheets/d/11923uPwbBZFjjGgGUA6NLw09EwE0CqkOc4q9oUmW1yo/edit?usp=sharing"",""เชียงราย!M298"")"),0)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IFERROR(__xludf.DUMMYFUNCTION("IMPORTRANGE(""https://docs.google.com/spreadsheets/d/11923uPwbBZFjjGgGUA6NLw09EwE0CqkOc4q9oUmW1yo/edit?usp=sharing"",""เชียงราย!L299"")"),195900)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IFERROR(__xludf.DUMMYFUNCTION("IMPORTRANGE(""https://docs.google.com/spreadsheets/d/11923uPwbBZFjjGgGUA6NLw09EwE0CqkOc4q9oUmW1yo/edit?usp=sharing"",""เชียงราย!M299"")"),194774.95)</f>
        <v>194774.95</v>
      </c>
      <c r="O404" s="168">
        <f t="shared" ca="1" si="112"/>
        <v>99.425701888718734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IFERROR(__xludf.DUMMYFUNCTION("IMPORTRANGE(""https://docs.google.com/spreadsheets/d/11923uPwbBZFjjGgGUA6NLw09EwE0CqkOc4q9oUmW1yo/edit?usp=sharing"",""เชียงราย!L300"")"),0)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IFERROR(__xludf.DUMMYFUNCTION("IMPORTRANGE(""https://docs.google.com/spreadsheets/d/11923uPwbBZFjjGgGUA6NLw09EwE0CqkOc4q9oUmW1yo/edit?usp=sharing"",""เชียงราย!M300"")"),0)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IFERROR(__xludf.DUMMYFUNCTION("IMPORTRANGE(""https://docs.google.com/spreadsheets/d/11923uPwbBZFjjGgGUA6NLw09EwE0CqkOc4q9oUmW1yo/edit?usp=sharing"",""เชียงราย!L301"")"),195900)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IFERROR(__xludf.DUMMYFUNCTION("IMPORTRANGE(""https://docs.google.com/spreadsheets/d/11923uPwbBZFjjGgGUA6NLw09EwE0CqkOc4q9oUmW1yo/edit?usp=sharing"",""เชียงราย!M301"")"),194774.95)</f>
        <v>194774.95</v>
      </c>
      <c r="O406" s="168">
        <f t="shared" ca="1" si="112"/>
        <v>99.425701888718734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IFERROR(__xludf.DUMMYFUNCTION("IMPORTRANGE(""https://docs.google.com/spreadsheets/d/11923uPwbBZFjjGgGUA6NLw09EwE0CqkOc4q9oUmW1yo/edit?usp=sharing"",""เชียงราย!M302"")"),130082)</f>
        <v>130082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IFERROR(__xludf.DUMMYFUNCTION("IMPORTRANGE(""https://docs.google.com/spreadsheets/d/11923uPwbBZFjjGgGUA6NLw09EwE0CqkOc4q9oUmW1yo/edit?usp=sharing"",""เชียงราย!M303"")"),41074.95)</f>
        <v>41074.949999999997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IFERROR(__xludf.DUMMYFUNCTION("IMPORTRANGE(""https://docs.google.com/spreadsheets/d/11923uPwbBZFjjGgGUA6NLw09EwE0CqkOc4q9oUmW1yo/edit?usp=sharing"",""เชียงราย!M304"")"),0)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IFERROR(__xludf.DUMMYFUNCTION("IMPORTRANGE(""https://docs.google.com/spreadsheets/d/11923uPwbBZFjjGgGUA6NLw09EwE0CqkOc4q9oUmW1yo/edit?usp=sharing"",""เชียงราย!M305"")"),23618)</f>
        <v>23618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IFERROR(__xludf.DUMMYFUNCTION("IMPORTRANGE(""https://docs.google.com/spreadsheets/d/11923uPwbBZFjjGgGUA6NLw09EwE0CqkOc4q9oUmW1yo/edit?usp=sharing"",""เชียงราย!J307"")"),0)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IFERROR(__xludf.DUMMYFUNCTION("IMPORTRANGE(""https://docs.google.com/spreadsheets/d/11923uPwbBZFjjGgGUA6NLw09EwE0CqkOc4q9oUmW1yo/edit?usp=sharing"",""เชียงราย!J308"")"),1)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IFERROR(__xludf.DUMMYFUNCTION("IMPORTRANGE(""https://docs.google.com/spreadsheets/d/11923uPwbBZFjjGgGUA6NLw09EwE0CqkOc4q9oUmW1yo/edit?usp=sharing"",""เชียงราย!J309"")"),1)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IFERROR(__xludf.DUMMYFUNCTION("IMPORTRANGE(""https://docs.google.com/spreadsheets/d/11923uPwbBZFjjGgGUA6NLw09EwE0CqkOc4q9oUmW1yo/edit?usp=sharing"",""เชียงราย!J310"")"),1)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IFERROR(__xludf.DUMMYFUNCTION("IMPORTRANGE(""https://docs.google.com/spreadsheets/d/11923uPwbBZFjjGgGUA6NLw09EwE0CqkOc4q9oUmW1yo/edit?usp=sharing"",""เชียงราย!I311"")"),58)</f>
        <v>58</v>
      </c>
      <c r="J416" s="200">
        <f ca="1">IFERROR(__xludf.DUMMYFUNCTION("IMPORTRANGE(""https://docs.google.com/spreadsheets/d/11923uPwbBZFjjGgGUA6NLw09EwE0CqkOc4q9oUmW1yo/edit?usp=sharing"",""เชียงราย!J311"")"),58)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IFERROR(__xludf.DUMMYFUNCTION("IMPORTRANGE(""https://docs.google.com/spreadsheets/d/11923uPwbBZFjjGgGUA6NLw09EwE0CqkOc4q9oUmW1yo/edit?usp=sharing"",""เชียงราย!I312"")"),10)</f>
        <v>10</v>
      </c>
      <c r="J417" s="391">
        <f ca="1">IFERROR(__xludf.DUMMYFUNCTION("IMPORTRANGE(""https://docs.google.com/spreadsheets/d/11923uPwbBZFjjGgGUA6NLw09EwE0CqkOc4q9oUmW1yo/edit?usp=sharing"",""เชียงราย!J312"")"),10)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IFERROR(__xludf.DUMMYFUNCTION("IMPORTRANGE(""https://docs.google.com/spreadsheets/d/11923uPwbBZFjjGgGUA6NLw09EwE0CqkOc4q9oUmW1yo/edit?usp=sharing"",""เชียงราย!I313"")"),30)</f>
        <v>30</v>
      </c>
      <c r="J418" s="392">
        <f ca="1">IFERROR(__xludf.DUMMYFUNCTION("IMPORTRANGE(""https://docs.google.com/spreadsheets/d/11923uPwbBZFjjGgGUA6NLw09EwE0CqkOc4q9oUmW1yo/edit?usp=sharing"",""เชียงราย!J313"")"),30)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IFERROR(__xludf.DUMMYFUNCTION("IMPORTRANGE(""https://docs.google.com/spreadsheets/d/11923uPwbBZFjjGgGUA6NLw09EwE0CqkOc4q9oUmW1yo/edit?usp=sharing"",""เชียงราย!I314"")"),10)</f>
        <v>10</v>
      </c>
      <c r="J419" s="393">
        <f ca="1">IFERROR(__xludf.DUMMYFUNCTION("IMPORTRANGE(""https://docs.google.com/spreadsheets/d/11923uPwbBZFjjGgGUA6NLw09EwE0CqkOc4q9oUmW1yo/edit?usp=sharing"",""เชียงราย!J314"")"),10)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IFERROR(__xludf.DUMMYFUNCTION("IMPORTRANGE(""https://docs.google.com/spreadsheets/d/11923uPwbBZFjjGgGUA6NLw09EwE0CqkOc4q9oUmW1yo/edit?usp=sharing"",""เชียงราย!I315"")"),10)</f>
        <v>10</v>
      </c>
      <c r="J420" s="393">
        <f ca="1">IFERROR(__xludf.DUMMYFUNCTION("IMPORTRANGE(""https://docs.google.com/spreadsheets/d/11923uPwbBZFjjGgGUA6NLw09EwE0CqkOc4q9oUmW1yo/edit?usp=sharing"",""เชียงราย!J315"")"),10)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IFERROR(__xludf.DUMMYFUNCTION("IMPORTRANGE(""https://docs.google.com/spreadsheets/d/11923uPwbBZFjjGgGUA6NLw09EwE0CqkOc4q9oUmW1yo/edit?usp=sharing"",""เชียงราย!I316"")"),38)</f>
        <v>38</v>
      </c>
      <c r="J421" s="391">
        <f ca="1">IFERROR(__xludf.DUMMYFUNCTION("IMPORTRANGE(""https://docs.google.com/spreadsheets/d/11923uPwbBZFjjGgGUA6NLw09EwE0CqkOc4q9oUmW1yo/edit?usp=sharing"",""เชียงราย!J316"")"),38)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IFERROR(__xludf.DUMMYFUNCTION("IMPORTRANGE(""https://docs.google.com/spreadsheets/d/11923uPwbBZFjjGgGUA6NLw09EwE0CqkOc4q9oUmW1yo/edit?usp=sharing"",""เชียงราย!I317"")"),114)</f>
        <v>114</v>
      </c>
      <c r="J422" s="392">
        <f ca="1">IFERROR(__xludf.DUMMYFUNCTION("IMPORTRANGE(""https://docs.google.com/spreadsheets/d/11923uPwbBZFjjGgGUA6NLw09EwE0CqkOc4q9oUmW1yo/edit?usp=sharing"",""เชียงราย!J317"")"),114)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IFERROR(__xludf.DUMMYFUNCTION("IMPORTRANGE(""https://docs.google.com/spreadsheets/d/11923uPwbBZFjjGgGUA6NLw09EwE0CqkOc4q9oUmW1yo/edit?usp=sharing"",""เชียงราย!I318"")"),38)</f>
        <v>38</v>
      </c>
      <c r="J423" s="393">
        <f ca="1">IFERROR(__xludf.DUMMYFUNCTION("IMPORTRANGE(""https://docs.google.com/spreadsheets/d/11923uPwbBZFjjGgGUA6NLw09EwE0CqkOc4q9oUmW1yo/edit?usp=sharing"",""เชียงราย!J318"")"),38)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IFERROR(__xludf.DUMMYFUNCTION("IMPORTRANGE(""https://docs.google.com/spreadsheets/d/11923uPwbBZFjjGgGUA6NLw09EwE0CqkOc4q9oUmW1yo/edit?usp=sharing"",""เชียงราย!I319"")"),38)</f>
        <v>38</v>
      </c>
      <c r="J424" s="393">
        <f ca="1">IFERROR(__xludf.DUMMYFUNCTION("IMPORTRANGE(""https://docs.google.com/spreadsheets/d/11923uPwbBZFjjGgGUA6NLw09EwE0CqkOc4q9oUmW1yo/edit?usp=sharing"",""เชียงราย!J319"")"),38)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IFERROR(__xludf.DUMMYFUNCTION("IMPORTRANGE(""https://docs.google.com/spreadsheets/d/11923uPwbBZFjjGgGUA6NLw09EwE0CqkOc4q9oUmW1yo/edit?usp=sharing"",""เชียงราย!I320"")"),38)</f>
        <v>38</v>
      </c>
      <c r="J425" s="393">
        <f ca="1">IFERROR(__xludf.DUMMYFUNCTION("IMPORTRANGE(""https://docs.google.com/spreadsheets/d/11923uPwbBZFjjGgGUA6NLw09EwE0CqkOc4q9oUmW1yo/edit?usp=sharing"",""เชียงราย!J320"")"),38)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IFERROR(__xludf.DUMMYFUNCTION("IMPORTRANGE(""https://docs.google.com/spreadsheets/d/11923uPwbBZFjjGgGUA6NLw09EwE0CqkOc4q9oUmW1yo/edit?usp=sharing"",""เชียงราย!I321"")"),10)</f>
        <v>10</v>
      </c>
      <c r="J426" s="391">
        <f ca="1">IFERROR(__xludf.DUMMYFUNCTION("IMPORTRANGE(""https://docs.google.com/spreadsheets/d/11923uPwbBZFjjGgGUA6NLw09EwE0CqkOc4q9oUmW1yo/edit?usp=sharing"",""เชียงราย!J321"")"),10)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IFERROR(__xludf.DUMMYFUNCTION("IMPORTRANGE(""https://docs.google.com/spreadsheets/d/11923uPwbBZFjjGgGUA6NLw09EwE0CqkOc4q9oUmW1yo/edit?usp=sharing"",""เชียงราย!I322"")"),30)</f>
        <v>30</v>
      </c>
      <c r="J427" s="392">
        <f ca="1">IFERROR(__xludf.DUMMYFUNCTION("IMPORTRANGE(""https://docs.google.com/spreadsheets/d/11923uPwbBZFjjGgGUA6NLw09EwE0CqkOc4q9oUmW1yo/edit?usp=sharing"",""เชียงราย!J322"")"),30)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IFERROR(__xludf.DUMMYFUNCTION("IMPORTRANGE(""https://docs.google.com/spreadsheets/d/11923uPwbBZFjjGgGUA6NLw09EwE0CqkOc4q9oUmW1yo/edit?usp=sharing"",""เชียงราย!I323"")"),10)</f>
        <v>10</v>
      </c>
      <c r="J428" s="393">
        <f ca="1">IFERROR(__xludf.DUMMYFUNCTION("IMPORTRANGE(""https://docs.google.com/spreadsheets/d/11923uPwbBZFjjGgGUA6NLw09EwE0CqkOc4q9oUmW1yo/edit?usp=sharing"",""เชียงราย!J323"")"),10)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IFERROR(__xludf.DUMMYFUNCTION("IMPORTRANGE(""https://docs.google.com/spreadsheets/d/11923uPwbBZFjjGgGUA6NLw09EwE0CqkOc4q9oUmW1yo/edit?usp=sharing"",""เชียงราย!I324"")"),10)</f>
        <v>10</v>
      </c>
      <c r="J429" s="393">
        <f ca="1">IFERROR(__xludf.DUMMYFUNCTION("IMPORTRANGE(""https://docs.google.com/spreadsheets/d/11923uPwbBZFjjGgGUA6NLw09EwE0CqkOc4q9oUmW1yo/edit?usp=sharing"",""เชียงราย!J324"")"),10)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IFERROR(__xludf.DUMMYFUNCTION("IMPORTRANGE(""https://docs.google.com/spreadsheets/d/11923uPwbBZFjjGgGUA6NLw09EwE0CqkOc4q9oUmW1yo/edit?usp=sharing"",""เชียงราย!I325"")"),48)</f>
        <v>48</v>
      </c>
      <c r="J430" s="391">
        <f ca="1">IFERROR(__xludf.DUMMYFUNCTION("IMPORTRANGE(""https://docs.google.com/spreadsheets/d/11923uPwbBZFjjGgGUA6NLw09EwE0CqkOc4q9oUmW1yo/edit?usp=sharing"",""เชียงราย!J325"")"),48)</f>
        <v>48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IFERROR(__xludf.DUMMYFUNCTION("IMPORTRANGE(""https://docs.google.com/spreadsheets/d/11923uPwbBZFjjGgGUA6NLw09EwE0CqkOc4q9oUmW1yo/edit?usp=sharing"",""เชียงราย!I326"")"),10)</f>
        <v>10</v>
      </c>
      <c r="J431" s="393">
        <f ca="1">IFERROR(__xludf.DUMMYFUNCTION("IMPORTRANGE(""https://docs.google.com/spreadsheets/d/11923uPwbBZFjjGgGUA6NLw09EwE0CqkOc4q9oUmW1yo/edit?usp=sharing"",""เชียงราย!J326"")"),10)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IFERROR(__xludf.DUMMYFUNCTION("IMPORTRANGE(""https://docs.google.com/spreadsheets/d/11923uPwbBZFjjGgGUA6NLw09EwE0CqkOc4q9oUmW1yo/edit?usp=sharing"",""เชียงราย!I327"")"),38)</f>
        <v>38</v>
      </c>
      <c r="J432" s="393">
        <f ca="1">IFERROR(__xludf.DUMMYFUNCTION("IMPORTRANGE(""https://docs.google.com/spreadsheets/d/11923uPwbBZFjjGgGUA6NLw09EwE0CqkOc4q9oUmW1yo/edit?usp=sharing"",""เชียงราย!J327"")"),38)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IFERROR(__xludf.DUMMYFUNCTION("IMPORTRANGE(""https://docs.google.com/spreadsheets/d/11923uPwbBZFjjGgGUA6NLw09EwE0CqkOc4q9oUmW1yo/edit?usp=sharing"",""เชียงราย!J328"")"),0)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IFERROR(__xludf.DUMMYFUNCTION("IMPORTRANGE(""https://docs.google.com/spreadsheets/d/11923uPwbBZFjjGgGUA6NLw09EwE0CqkOc4q9oUmW1yo/edit?usp=sharing"",""เชียงราย!J329"")"),0)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IFERROR(__xludf.DUMMYFUNCTION("IMPORTRANGE(""https://docs.google.com/spreadsheets/d/11923uPwbBZFjjGgGUA6NLw09EwE0CqkOc4q9oUmW1yo/edit?usp=sharing"",""เชียงราย!I330"")"),50)</f>
        <v>50</v>
      </c>
      <c r="J435" s="409">
        <f ca="1">IFERROR(__xludf.DUMMYFUNCTION("IMPORTRANGE(""https://docs.google.com/spreadsheets/d/11923uPwbBZFjjGgGUA6NLw09EwE0CqkOc4q9oUmW1yo/edit?usp=sharing"",""เชียงราย!J330"")"),50)</f>
        <v>50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IFERROR(__xludf.DUMMYFUNCTION("IMPORTRANGE(""https://docs.google.com/spreadsheets/d/11923uPwbBZFjjGgGUA6NLw09EwE0CqkOc4q9oUmW1yo/edit?usp=sharing"",""เชียงราย!L330"")"),159800)</f>
        <v>159800</v>
      </c>
      <c r="M435" s="411"/>
      <c r="N435" s="411">
        <f ca="1">IFERROR(__xludf.DUMMYFUNCTION("IMPORTRANGE(""https://docs.google.com/spreadsheets/d/11923uPwbBZFjjGgGUA6NLw09EwE0CqkOc4q9oUmW1yo/edit?usp=sharing"",""เชียงราย!M330"")"),125031)</f>
        <v>125031</v>
      </c>
      <c r="O435" s="411">
        <f t="shared" ref="O435:O439" ca="1" si="114">+IF(L435&gt;0,N435*100/L435,0)</f>
        <v>78.24217772215269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IFERROR(__xludf.DUMMYFUNCTION("IMPORTRANGE(""https://docs.google.com/spreadsheets/d/11923uPwbBZFjjGgGUA6NLw09EwE0CqkOc4q9oUmW1yo/edit?usp=sharing"",""เชียงราย!L331"")"),0)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IFERROR(__xludf.DUMMYFUNCTION("IMPORTRANGE(""https://docs.google.com/spreadsheets/d/11923uPwbBZFjjGgGUA6NLw09EwE0CqkOc4q9oUmW1yo/edit?usp=sharing"",""เชียงราย!M331"")"),0)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IFERROR(__xludf.DUMMYFUNCTION("IMPORTRANGE(""https://docs.google.com/spreadsheets/d/11923uPwbBZFjjGgGUA6NLw09EwE0CqkOc4q9oUmW1yo/edit?usp=sharing"",""เชียงราย!L332"")"),159800)</f>
        <v>159800</v>
      </c>
      <c r="M437" s="165"/>
      <c r="N437" s="168">
        <f ca="1">IFERROR(__xludf.DUMMYFUNCTION("IMPORTRANGE(""https://docs.google.com/spreadsheets/d/11923uPwbBZFjjGgGUA6NLw09EwE0CqkOc4q9oUmW1yo/edit?usp=sharing"",""เชียงราย!M332"")"),125031)</f>
        <v>125031</v>
      </c>
      <c r="O437" s="168">
        <f t="shared" ca="1" si="114"/>
        <v>78.24217772215269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IFERROR(__xludf.DUMMYFUNCTION("IMPORTRANGE(""https://docs.google.com/spreadsheets/d/11923uPwbBZFjjGgGUA6NLw09EwE0CqkOc4q9oUmW1yo/edit?usp=sharing"",""เชียงราย!L333"")"),0)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IFERROR(__xludf.DUMMYFUNCTION("IMPORTRANGE(""https://docs.google.com/spreadsheets/d/11923uPwbBZFjjGgGUA6NLw09EwE0CqkOc4q9oUmW1yo/edit?usp=sharing"",""เชียงราย!M333"")"),0)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IFERROR(__xludf.DUMMYFUNCTION("IMPORTRANGE(""https://docs.google.com/spreadsheets/d/11923uPwbBZFjjGgGUA6NLw09EwE0CqkOc4q9oUmW1yo/edit?usp=sharing"",""เชียงราย!L334"")"),159800)</f>
        <v>159800</v>
      </c>
      <c r="M439" s="168"/>
      <c r="N439" s="168">
        <f ca="1">IFERROR(__xludf.DUMMYFUNCTION("IMPORTRANGE(""https://docs.google.com/spreadsheets/d/11923uPwbBZFjjGgGUA6NLw09EwE0CqkOc4q9oUmW1yo/edit?usp=sharing"",""เชียงราย!M334"")"),125031)</f>
        <v>125031</v>
      </c>
      <c r="O439" s="168">
        <f t="shared" ca="1" si="114"/>
        <v>78.24217772215269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IFERROR(__xludf.DUMMYFUNCTION("IMPORTRANGE(""https://docs.google.com/spreadsheets/d/11923uPwbBZFjjGgGUA6NLw09EwE0CqkOc4q9oUmW1yo/edit?usp=sharing"",""เชียงราย!M335"")"),104000)</f>
        <v>104000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IFERROR(__xludf.DUMMYFUNCTION("IMPORTRANGE(""https://docs.google.com/spreadsheets/d/11923uPwbBZFjjGgGUA6NLw09EwE0CqkOc4q9oUmW1yo/edit?usp=sharing"",""เชียงราย!M336"")"),0)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IFERROR(__xludf.DUMMYFUNCTION("IMPORTRANGE(""https://docs.google.com/spreadsheets/d/11923uPwbBZFjjGgGUA6NLw09EwE0CqkOc4q9oUmW1yo/edit?usp=sharing"",""เชียงราย!M337"")"),0)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IFERROR(__xludf.DUMMYFUNCTION("IMPORTRANGE(""https://docs.google.com/spreadsheets/d/11923uPwbBZFjjGgGUA6NLw09EwE0CqkOc4q9oUmW1yo/edit?usp=sharing"",""เชียงราย!M338"")"),21031)</f>
        <v>21031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IFERROR(__xludf.DUMMYFUNCTION("IMPORTRANGE(""https://docs.google.com/spreadsheets/d/11923uPwbBZFjjGgGUA6NLw09EwE0CqkOc4q9oUmW1yo/edit?usp=sharing"",""เชียงราย!J340"")"),0)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IFERROR(__xludf.DUMMYFUNCTION("IMPORTRANGE(""https://docs.google.com/spreadsheets/d/11923uPwbBZFjjGgGUA6NLw09EwE0CqkOc4q9oUmW1yo/edit?usp=sharing"",""เชียงราย!J341"")"),1)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IFERROR(__xludf.DUMMYFUNCTION("IMPORTRANGE(""https://docs.google.com/spreadsheets/d/11923uPwbBZFjjGgGUA6NLw09EwE0CqkOc4q9oUmW1yo/edit?usp=sharing"",""เชียงราย!J342"")"),1)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IFERROR(__xludf.DUMMYFUNCTION("IMPORTRANGE(""https://docs.google.com/spreadsheets/d/11923uPwbBZFjjGgGUA6NLw09EwE0CqkOc4q9oUmW1yo/edit?usp=sharing"",""เชียงราย!J343"")"),1)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IFERROR(__xludf.DUMMYFUNCTION("IMPORTRANGE(""https://docs.google.com/spreadsheets/d/11923uPwbBZFjjGgGUA6NLw09EwE0CqkOc4q9oUmW1yo/edit?usp=sharing"",""เชียงราย!I344"")"),50)</f>
        <v>50</v>
      </c>
      <c r="J449" s="200">
        <f ca="1">IFERROR(__xludf.DUMMYFUNCTION("IMPORTRANGE(""https://docs.google.com/spreadsheets/d/11923uPwbBZFjjGgGUA6NLw09EwE0CqkOc4q9oUmW1yo/edit?usp=sharing"",""เชียงราย!J344"")"),50)</f>
        <v>50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IFERROR(__xludf.DUMMYFUNCTION("IMPORTRANGE(""https://docs.google.com/spreadsheets/d/11923uPwbBZFjjGgGUA6NLw09EwE0CqkOc4q9oUmW1yo/edit?usp=sharing"",""เชียงราย!I345"")"),20)</f>
        <v>20</v>
      </c>
      <c r="J450" s="188">
        <f ca="1">IFERROR(__xludf.DUMMYFUNCTION("IMPORTRANGE(""https://docs.google.com/spreadsheets/d/11923uPwbBZFjjGgGUA6NLw09EwE0CqkOc4q9oUmW1yo/edit?usp=sharing"",""เชียงราย!J345"")"),20)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IFERROR(__xludf.DUMMYFUNCTION("IMPORTRANGE(""https://docs.google.com/spreadsheets/d/11923uPwbBZFjjGgGUA6NLw09EwE0CqkOc4q9oUmW1yo/edit?usp=sharing"",""เชียงราย!I346"")"),30)</f>
        <v>30</v>
      </c>
      <c r="J451" s="187">
        <f ca="1">IFERROR(__xludf.DUMMYFUNCTION("IMPORTRANGE(""https://docs.google.com/spreadsheets/d/11923uPwbBZFjjGgGUA6NLw09EwE0CqkOc4q9oUmW1yo/edit?usp=sharing"",""เชียงราย!J346"")"),30)</f>
        <v>30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IFERROR(__xludf.DUMMYFUNCTION("IMPORTRANGE(""https://docs.google.com/spreadsheets/d/11923uPwbBZFjjGgGUA6NLw09EwE0CqkOc4q9oUmW1yo/edit?usp=sharing"",""เชียงราย!I347"")"),0)</f>
        <v>0</v>
      </c>
      <c r="J452" s="187">
        <f ca="1">IFERROR(__xludf.DUMMYFUNCTION("IMPORTRANGE(""https://docs.google.com/spreadsheets/d/11923uPwbBZFjjGgGUA6NLw09EwE0CqkOc4q9oUmW1yo/edit?usp=sharing"",""เชียงราย!J347"")"),0)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IFERROR(__xludf.DUMMYFUNCTION("IMPORTRANGE(""https://docs.google.com/spreadsheets/d/11923uPwbBZFjjGgGUA6NLw09EwE0CqkOc4q9oUmW1yo/edit?usp=sharing"",""เชียงราย!J348"")"),0)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IFERROR(__xludf.DUMMYFUNCTION("IMPORTRANGE(""https://docs.google.com/spreadsheets/d/11923uPwbBZFjjGgGUA6NLw09EwE0CqkOc4q9oUmW1yo/edit?usp=sharing"",""เชียงราย!J349"")"),0)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IFERROR(__xludf.DUMMYFUNCTION("IMPORTRANGE(""https://docs.google.com/spreadsheets/d/11923uPwbBZFjjGgGUA6NLw09EwE0CqkOc4q9oUmW1yo/edit?usp=sharing"",""เชียงราย!I350"")"),49473)</f>
        <v>49473</v>
      </c>
      <c r="J455" s="370">
        <f ca="1">IFERROR(__xludf.DUMMYFUNCTION("IMPORTRANGE(""https://docs.google.com/spreadsheets/d/11923uPwbBZFjjGgGUA6NLw09EwE0CqkOc4q9oUmW1yo/edit?usp=sharing"",""เชียงราย!J350"")"),44798.7729999999)</f>
        <v>44798.772999999899</v>
      </c>
      <c r="K455" s="371">
        <f ca="1">IF(I455&gt;0,J455*100/I455,0)</f>
        <v>90.55196369737007</v>
      </c>
      <c r="L455" s="372">
        <f ca="1">IFERROR(__xludf.DUMMYFUNCTION("IMPORTRANGE(""https://docs.google.com/spreadsheets/d/11923uPwbBZFjjGgGUA6NLw09EwE0CqkOc4q9oUmW1yo/edit?usp=sharing"",""เชียงราย!L350"")"),541453)</f>
        <v>541453</v>
      </c>
      <c r="M455" s="372"/>
      <c r="N455" s="372">
        <f ca="1">IFERROR(__xludf.DUMMYFUNCTION("IMPORTRANGE(""https://docs.google.com/spreadsheets/d/11923uPwbBZFjjGgGUA6NLw09EwE0CqkOc4q9oUmW1yo/edit?usp=sharing"",""เชียงราย!M350"")"),219410)</f>
        <v>219410</v>
      </c>
      <c r="O455" s="372">
        <f t="shared" ref="O455:O459" ca="1" si="116">+IF(L455&gt;0,N455*100/L455,0)</f>
        <v>40.522446084886404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IFERROR(__xludf.DUMMYFUNCTION("IMPORTRANGE(""https://docs.google.com/spreadsheets/d/11923uPwbBZFjjGgGUA6NLw09EwE0CqkOc4q9oUmW1yo/edit?usp=sharing"",""เชียงราย!L351"")"),0)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IFERROR(__xludf.DUMMYFUNCTION("IMPORTRANGE(""https://docs.google.com/spreadsheets/d/11923uPwbBZFjjGgGUA6NLw09EwE0CqkOc4q9oUmW1yo/edit?usp=sharing"",""เชียงราย!M351"")"),0)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IFERROR(__xludf.DUMMYFUNCTION("IMPORTRANGE(""https://docs.google.com/spreadsheets/d/11923uPwbBZFjjGgGUA6NLw09EwE0CqkOc4q9oUmW1yo/edit?usp=sharing"",""เชียงราย!L352"")"),541453)</f>
        <v>541453</v>
      </c>
      <c r="M457" s="165"/>
      <c r="N457" s="168">
        <f ca="1">IFERROR(__xludf.DUMMYFUNCTION("IMPORTRANGE(""https://docs.google.com/spreadsheets/d/11923uPwbBZFjjGgGUA6NLw09EwE0CqkOc4q9oUmW1yo/edit?usp=sharing"",""เชียงราย!M352"")"),219410)</f>
        <v>219410</v>
      </c>
      <c r="O457" s="168">
        <f t="shared" ca="1" si="116"/>
        <v>40.522446084886404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IFERROR(__xludf.DUMMYFUNCTION("IMPORTRANGE(""https://docs.google.com/spreadsheets/d/11923uPwbBZFjjGgGUA6NLw09EwE0CqkOc4q9oUmW1yo/edit?usp=sharing"",""เชียงราย!L353"")"),0)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IFERROR(__xludf.DUMMYFUNCTION("IMPORTRANGE(""https://docs.google.com/spreadsheets/d/11923uPwbBZFjjGgGUA6NLw09EwE0CqkOc4q9oUmW1yo/edit?usp=sharing"",""เชียงราย!M353"")"),0)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IFERROR(__xludf.DUMMYFUNCTION("IMPORTRANGE(""https://docs.google.com/spreadsheets/d/11923uPwbBZFjjGgGUA6NLw09EwE0CqkOc4q9oUmW1yo/edit?usp=sharing"",""เชียงราย!L354"")"),541453)</f>
        <v>541453</v>
      </c>
      <c r="M459" s="168"/>
      <c r="N459" s="168">
        <f ca="1">IFERROR(__xludf.DUMMYFUNCTION("IMPORTRANGE(""https://docs.google.com/spreadsheets/d/11923uPwbBZFjjGgGUA6NLw09EwE0CqkOc4q9oUmW1yo/edit?usp=sharing"",""เชียงราย!M354"")"),219410)</f>
        <v>219410</v>
      </c>
      <c r="O459" s="168">
        <f t="shared" ca="1" si="116"/>
        <v>40.522446084886404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IFERROR(__xludf.DUMMYFUNCTION("IMPORTRANGE(""https://docs.google.com/spreadsheets/d/11923uPwbBZFjjGgGUA6NLw09EwE0CqkOc4q9oUmW1yo/edit?usp=sharing"",""เชียงราย!M355"")"),0)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IFERROR(__xludf.DUMMYFUNCTION("IMPORTRANGE(""https://docs.google.com/spreadsheets/d/11923uPwbBZFjjGgGUA6NLw09EwE0CqkOc4q9oUmW1yo/edit?usp=sharing"",""เชียงราย!M356"")"),0)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IFERROR(__xludf.DUMMYFUNCTION("IMPORTRANGE(""https://docs.google.com/spreadsheets/d/11923uPwbBZFjjGgGUA6NLw09EwE0CqkOc4q9oUmW1yo/edit?usp=sharing"",""เชียงราย!M357"")"),62650)</f>
        <v>62650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IFERROR(__xludf.DUMMYFUNCTION("IMPORTRANGE(""https://docs.google.com/spreadsheets/d/11923uPwbBZFjjGgGUA6NLw09EwE0CqkOc4q9oUmW1yo/edit?usp=sharing"",""เชียงราย!M358"")"),156760)</f>
        <v>156760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IFERROR(__xludf.DUMMYFUNCTION("IMPORTRANGE(""https://docs.google.com/spreadsheets/d/11923uPwbBZFjjGgGUA6NLw09EwE0CqkOc4q9oUmW1yo/edit?usp=sharing"",""เชียงราย!I359"")"),49473)</f>
        <v>49473</v>
      </c>
      <c r="J464" s="267">
        <f ca="1">IFERROR(__xludf.DUMMYFUNCTION("IMPORTRANGE(""https://docs.google.com/spreadsheets/d/11923uPwbBZFjjGgGUA6NLw09EwE0CqkOc4q9oUmW1yo/edit?usp=sharing"",""เชียงราย!J359"")"),44798.7729999999)</f>
        <v>44798.772999999899</v>
      </c>
      <c r="K464" s="268">
        <f t="shared" ref="K464:K515" ca="1" si="117">IF(I464&gt;0,J464*100/I464,0)</f>
        <v>90.55196369737007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IFERROR(__xludf.DUMMYFUNCTION("IMPORTRANGE(""https://docs.google.com/spreadsheets/d/11923uPwbBZFjjGgGUA6NLw09EwE0CqkOc4q9oUmW1yo/edit?usp=sharing"",""เชียงราย!I360"")"),49473)</f>
        <v>49473</v>
      </c>
      <c r="J465" s="420">
        <f ca="1">IFERROR(__xludf.DUMMYFUNCTION("IMPORTRANGE(""https://docs.google.com/spreadsheets/d/11923uPwbBZFjjGgGUA6NLw09EwE0CqkOc4q9oUmW1yo/edit?usp=sharing"",""เชียงราย!J360"")"),49473)</f>
        <v>49473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IFERROR(__xludf.DUMMYFUNCTION("IMPORTRANGE(""https://docs.google.com/spreadsheets/d/11923uPwbBZFjjGgGUA6NLw09EwE0CqkOc4q9oUmW1yo/edit?usp=sharing"",""เชียงราย!I361"")"),9843)</f>
        <v>9843</v>
      </c>
      <c r="J466" s="420">
        <f ca="1">IFERROR(__xludf.DUMMYFUNCTION("IMPORTRANGE(""https://docs.google.com/spreadsheets/d/11923uPwbBZFjjGgGUA6NLw09EwE0CqkOc4q9oUmW1yo/edit?usp=sharing"",""เชียงราย!J361"")"),9843)</f>
        <v>9843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IFERROR(__xludf.DUMMYFUNCTION("IMPORTRANGE(""https://docs.google.com/spreadsheets/d/11923uPwbBZFjjGgGUA6NLw09EwE0CqkOc4q9oUmW1yo/edit?usp=sharing"",""เชียงราย!I362"")"),0)</f>
        <v>0</v>
      </c>
      <c r="J467" s="188">
        <f ca="1">IFERROR(__xludf.DUMMYFUNCTION("IMPORTRANGE(""https://docs.google.com/spreadsheets/d/11923uPwbBZFjjGgGUA6NLw09EwE0CqkOc4q9oUmW1yo/edit?usp=sharing"",""เชียงราย!J362"")"),42857)</f>
        <v>42857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IFERROR(__xludf.DUMMYFUNCTION("IMPORTRANGE(""https://docs.google.com/spreadsheets/d/11923uPwbBZFjjGgGUA6NLw09EwE0CqkOc4q9oUmW1yo/edit?usp=sharing"",""เชียงราย!I363"")"),0)</f>
        <v>0</v>
      </c>
      <c r="J468" s="188">
        <f ca="1">IFERROR(__xludf.DUMMYFUNCTION("IMPORTRANGE(""https://docs.google.com/spreadsheets/d/11923uPwbBZFjjGgGUA6NLw09EwE0CqkOc4q9oUmW1yo/edit?usp=sharing"",""เชียงราย!J363"")"),8730)</f>
        <v>8730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IFERROR(__xludf.DUMMYFUNCTION("IMPORTRANGE(""https://docs.google.com/spreadsheets/d/11923uPwbBZFjjGgGUA6NLw09EwE0CqkOc4q9oUmW1yo/edit?usp=sharing"",""เชียงราย!I364"")"),0)</f>
        <v>0</v>
      </c>
      <c r="J469" s="188">
        <f ca="1">IFERROR(__xludf.DUMMYFUNCTION("IMPORTRANGE(""https://docs.google.com/spreadsheets/d/11923uPwbBZFjjGgGUA6NLw09EwE0CqkOc4q9oUmW1yo/edit?usp=sharing"",""เชียงราย!J364"")"),5964)</f>
        <v>5964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IFERROR(__xludf.DUMMYFUNCTION("IMPORTRANGE(""https://docs.google.com/spreadsheets/d/11923uPwbBZFjjGgGUA6NLw09EwE0CqkOc4q9oUmW1yo/edit?usp=sharing"",""เชียงราย!I365"")"),0)</f>
        <v>0</v>
      </c>
      <c r="J470" s="188">
        <f ca="1">IFERROR(__xludf.DUMMYFUNCTION("IMPORTRANGE(""https://docs.google.com/spreadsheets/d/11923uPwbBZFjjGgGUA6NLw09EwE0CqkOc4q9oUmW1yo/edit?usp=sharing"",""เชียงราย!J365"")"),987)</f>
        <v>987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IFERROR(__xludf.DUMMYFUNCTION("IMPORTRANGE(""https://docs.google.com/spreadsheets/d/11923uPwbBZFjjGgGUA6NLw09EwE0CqkOc4q9oUmW1yo/edit?usp=sharing"",""เชียงราย!I366"")"),0)</f>
        <v>0</v>
      </c>
      <c r="J471" s="188">
        <f ca="1">IFERROR(__xludf.DUMMYFUNCTION("IMPORTRANGE(""https://docs.google.com/spreadsheets/d/11923uPwbBZFjjGgGUA6NLw09EwE0CqkOc4q9oUmW1yo/edit?usp=sharing"",""เชียงราย!J366"")"),652)</f>
        <v>652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IFERROR(__xludf.DUMMYFUNCTION("IMPORTRANGE(""https://docs.google.com/spreadsheets/d/11923uPwbBZFjjGgGUA6NLw09EwE0CqkOc4q9oUmW1yo/edit?usp=sharing"",""เชียงราย!I367"")"),0)</f>
        <v>0</v>
      </c>
      <c r="J472" s="188">
        <f ca="1">IFERROR(__xludf.DUMMYFUNCTION("IMPORTRANGE(""https://docs.google.com/spreadsheets/d/11923uPwbBZFjjGgGUA6NLw09EwE0CqkOc4q9oUmW1yo/edit?usp=sharing"",""เชียงราย!J367"")"),126)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IFERROR(__xludf.DUMMYFUNCTION("IMPORTRANGE(""https://docs.google.com/spreadsheets/d/11923uPwbBZFjjGgGUA6NLw09EwE0CqkOc4q9oUmW1yo/edit?usp=sharing"",""เชียงราย!I368"")"),49473)</f>
        <v>49473</v>
      </c>
      <c r="J473" s="420">
        <f ca="1">IFERROR(__xludf.DUMMYFUNCTION("IMPORTRANGE(""https://docs.google.com/spreadsheets/d/11923uPwbBZFjjGgGUA6NLw09EwE0CqkOc4q9oUmW1yo/edit?usp=sharing"",""เชียงราย!J368"")"),49473)</f>
        <v>49473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IFERROR(__xludf.DUMMYFUNCTION("IMPORTRANGE(""https://docs.google.com/spreadsheets/d/11923uPwbBZFjjGgGUA6NLw09EwE0CqkOc4q9oUmW1yo/edit?usp=sharing"",""เชียงราย!I369"")"),9843)</f>
        <v>9843</v>
      </c>
      <c r="J474" s="420">
        <f ca="1">IFERROR(__xludf.DUMMYFUNCTION("IMPORTRANGE(""https://docs.google.com/spreadsheets/d/11923uPwbBZFjjGgGUA6NLw09EwE0CqkOc4q9oUmW1yo/edit?usp=sharing"",""เชียงราย!J369"")"),9843)</f>
        <v>9843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IFERROR(__xludf.DUMMYFUNCTION("IMPORTRANGE(""https://docs.google.com/spreadsheets/d/11923uPwbBZFjjGgGUA6NLw09EwE0CqkOc4q9oUmW1yo/edit?usp=sharing"",""เชียงราย!I370"")"),0)</f>
        <v>0</v>
      </c>
      <c r="J475" s="188">
        <f ca="1">IFERROR(__xludf.DUMMYFUNCTION("IMPORTRANGE(""https://docs.google.com/spreadsheets/d/11923uPwbBZFjjGgGUA6NLw09EwE0CqkOc4q9oUmW1yo/edit?usp=sharing"",""เชียงราย!J370"")"),42904)</f>
        <v>42904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IFERROR(__xludf.DUMMYFUNCTION("IMPORTRANGE(""https://docs.google.com/spreadsheets/d/11923uPwbBZFjjGgGUA6NLw09EwE0CqkOc4q9oUmW1yo/edit?usp=sharing"",""เชียงราย!I371"")"),0)</f>
        <v>0</v>
      </c>
      <c r="J476" s="188">
        <f ca="1">IFERROR(__xludf.DUMMYFUNCTION("IMPORTRANGE(""https://docs.google.com/spreadsheets/d/11923uPwbBZFjjGgGUA6NLw09EwE0CqkOc4q9oUmW1yo/edit?usp=sharing"",""เชียงราย!J371"")"),8733)</f>
        <v>8733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IFERROR(__xludf.DUMMYFUNCTION("IMPORTRANGE(""https://docs.google.com/spreadsheets/d/11923uPwbBZFjjGgGUA6NLw09EwE0CqkOc4q9oUmW1yo/edit?usp=sharing"",""เชียงราย!I372"")"),0)</f>
        <v>0</v>
      </c>
      <c r="J477" s="188">
        <f ca="1">IFERROR(__xludf.DUMMYFUNCTION("IMPORTRANGE(""https://docs.google.com/spreadsheets/d/11923uPwbBZFjjGgGUA6NLw09EwE0CqkOc4q9oUmW1yo/edit?usp=sharing"",""เชียงราย!J372"")"),5672)</f>
        <v>5672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IFERROR(__xludf.DUMMYFUNCTION("IMPORTRANGE(""https://docs.google.com/spreadsheets/d/11923uPwbBZFjjGgGUA6NLw09EwE0CqkOc4q9oUmW1yo/edit?usp=sharing"",""เชียงราย!I373"")"),0)</f>
        <v>0</v>
      </c>
      <c r="J478" s="188">
        <f ca="1">IFERROR(__xludf.DUMMYFUNCTION("IMPORTRANGE(""https://docs.google.com/spreadsheets/d/11923uPwbBZFjjGgGUA6NLw09EwE0CqkOc4q9oUmW1yo/edit?usp=sharing"",""เชียงราย!J373"")"),941)</f>
        <v>941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IFERROR(__xludf.DUMMYFUNCTION("IMPORTRANGE(""https://docs.google.com/spreadsheets/d/11923uPwbBZFjjGgGUA6NLw09EwE0CqkOc4q9oUmW1yo/edit?usp=sharing"",""เชียงราย!I374"")"),0)</f>
        <v>0</v>
      </c>
      <c r="J479" s="188">
        <f ca="1">IFERROR(__xludf.DUMMYFUNCTION("IMPORTRANGE(""https://docs.google.com/spreadsheets/d/11923uPwbBZFjjGgGUA6NLw09EwE0CqkOc4q9oUmW1yo/edit?usp=sharing"",""เชียงราย!J374"")"),897)</f>
        <v>897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IFERROR(__xludf.DUMMYFUNCTION("IMPORTRANGE(""https://docs.google.com/spreadsheets/d/11923uPwbBZFjjGgGUA6NLw09EwE0CqkOc4q9oUmW1yo/edit?usp=sharing"",""เชียงราย!I375"")"),0)</f>
        <v>0</v>
      </c>
      <c r="J480" s="188">
        <f ca="1">IFERROR(__xludf.DUMMYFUNCTION("IMPORTRANGE(""https://docs.google.com/spreadsheets/d/11923uPwbBZFjjGgGUA6NLw09EwE0CqkOc4q9oUmW1yo/edit?usp=sharing"",""เชียงราย!J375"")"),169)</f>
        <v>169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IFERROR(__xludf.DUMMYFUNCTION("IMPORTRANGE(""https://docs.google.com/spreadsheets/d/11923uPwbBZFjjGgGUA6NLw09EwE0CqkOc4q9oUmW1yo/edit?usp=sharing"",""เชียงราย!I376"")"),49473)</f>
        <v>49473</v>
      </c>
      <c r="J481" s="420">
        <f ca="1">IFERROR(__xludf.DUMMYFUNCTION("IMPORTRANGE(""https://docs.google.com/spreadsheets/d/11923uPwbBZFjjGgGUA6NLw09EwE0CqkOc4q9oUmW1yo/edit?usp=sharing"",""เชียงราย!J376"")"),44798.7729999999)</f>
        <v>44798.772999999899</v>
      </c>
      <c r="K481" s="201">
        <f t="shared" ca="1" si="117"/>
        <v>90.55196369737007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IFERROR(__xludf.DUMMYFUNCTION("IMPORTRANGE(""https://docs.google.com/spreadsheets/d/11923uPwbBZFjjGgGUA6NLw09EwE0CqkOc4q9oUmW1yo/edit?usp=sharing"",""เชียงราย!I377"")"),9843)</f>
        <v>9843</v>
      </c>
      <c r="J482" s="420">
        <f ca="1">IFERROR(__xludf.DUMMYFUNCTION("IMPORTRANGE(""https://docs.google.com/spreadsheets/d/11923uPwbBZFjjGgGUA6NLw09EwE0CqkOc4q9oUmW1yo/edit?usp=sharing"",""เชียงราย!J377"")"),9081)</f>
        <v>9081</v>
      </c>
      <c r="K482" s="201">
        <f t="shared" ca="1" si="117"/>
        <v>92.258457787259985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IFERROR(__xludf.DUMMYFUNCTION("IMPORTRANGE(""https://docs.google.com/spreadsheets/d/11923uPwbBZFjjGgGUA6NLw09EwE0CqkOc4q9oUmW1yo/edit?usp=sharing"",""เชียงราย!I378"")"),0)</f>
        <v>0</v>
      </c>
      <c r="J483" s="188">
        <f ca="1">IFERROR(__xludf.DUMMYFUNCTION("IMPORTRANGE(""https://docs.google.com/spreadsheets/d/11923uPwbBZFjjGgGUA6NLw09EwE0CqkOc4q9oUmW1yo/edit?usp=sharing"",""เชียงราย!J378"")"),43842.77)</f>
        <v>43842.77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IFERROR(__xludf.DUMMYFUNCTION("IMPORTRANGE(""https://docs.google.com/spreadsheets/d/11923uPwbBZFjjGgGUA6NLw09EwE0CqkOc4q9oUmW1yo/edit?usp=sharing"",""เชียงราย!I379"")"),0)</f>
        <v>0</v>
      </c>
      <c r="J484" s="188">
        <f ca="1">IFERROR(__xludf.DUMMYFUNCTION("IMPORTRANGE(""https://docs.google.com/spreadsheets/d/11923uPwbBZFjjGgGUA6NLw09EwE0CqkOc4q9oUmW1yo/edit?usp=sharing"",""เชียงราย!J379"")"),8892)</f>
        <v>8892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IFERROR(__xludf.DUMMYFUNCTION("IMPORTRANGE(""https://docs.google.com/spreadsheets/d/11923uPwbBZFjjGgGUA6NLw09EwE0CqkOc4q9oUmW1yo/edit?usp=sharing"",""เชียงราย!I380"")"),0)</f>
        <v>0</v>
      </c>
      <c r="J485" s="188">
        <f ca="1">IFERROR(__xludf.DUMMYFUNCTION("IMPORTRANGE(""https://docs.google.com/spreadsheets/d/11923uPwbBZFjjGgGUA6NLw09EwE0CqkOc4q9oUmW1yo/edit?usp=sharing"",""เชียงราย!J380"")"),60)</f>
        <v>60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IFERROR(__xludf.DUMMYFUNCTION("IMPORTRANGE(""https://docs.google.com/spreadsheets/d/11923uPwbBZFjjGgGUA6NLw09EwE0CqkOc4q9oUmW1yo/edit?usp=sharing"",""เชียงราย!I381"")"),0)</f>
        <v>0</v>
      </c>
      <c r="J486" s="188">
        <f ca="1">IFERROR(__xludf.DUMMYFUNCTION("IMPORTRANGE(""https://docs.google.com/spreadsheets/d/11923uPwbBZFjjGgGUA6NLw09EwE0CqkOc4q9oUmW1yo/edit?usp=sharing"",""เชียงราย!J381"")"),19)</f>
        <v>19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IFERROR(__xludf.DUMMYFUNCTION("IMPORTRANGE(""https://docs.google.com/spreadsheets/d/11923uPwbBZFjjGgGUA6NLw09EwE0CqkOc4q9oUmW1yo/edit?usp=sharing"",""เชียงราย!I382"")"),0)</f>
        <v>0</v>
      </c>
      <c r="J487" s="420">
        <f ca="1">IFERROR(__xludf.DUMMYFUNCTION("IMPORTRANGE(""https://docs.google.com/spreadsheets/d/11923uPwbBZFjjGgGUA6NLw09EwE0CqkOc4q9oUmW1yo/edit?usp=sharing"",""เชียงราย!J382"")"),896.003)</f>
        <v>896.00300000000004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IFERROR(__xludf.DUMMYFUNCTION("IMPORTRANGE(""https://docs.google.com/spreadsheets/d/11923uPwbBZFjjGgGUA6NLw09EwE0CqkOc4q9oUmW1yo/edit?usp=sharing"",""เชียงราย!I383"")"),0)</f>
        <v>0</v>
      </c>
      <c r="J488" s="420">
        <f ca="1">IFERROR(__xludf.DUMMYFUNCTION("IMPORTRANGE(""https://docs.google.com/spreadsheets/d/11923uPwbBZFjjGgGUA6NLw09EwE0CqkOc4q9oUmW1yo/edit?usp=sharing"",""เชียงราย!J383"")"),170)</f>
        <v>170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IFERROR(__xludf.DUMMYFUNCTION("IMPORTRANGE(""https://docs.google.com/spreadsheets/d/11923uPwbBZFjjGgGUA6NLw09EwE0CqkOc4q9oUmW1yo/edit?usp=sharing"",""เชียงราย!I384"")"),0)</f>
        <v>0</v>
      </c>
      <c r="J489" s="188">
        <f ca="1">IFERROR(__xludf.DUMMYFUNCTION("IMPORTRANGE(""https://docs.google.com/spreadsheets/d/11923uPwbBZFjjGgGUA6NLw09EwE0CqkOc4q9oUmW1yo/edit?usp=sharing"",""เชียงราย!J384"")"),895.003)</f>
        <v>895.00300000000004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IFERROR(__xludf.DUMMYFUNCTION("IMPORTRANGE(""https://docs.google.com/spreadsheets/d/11923uPwbBZFjjGgGUA6NLw09EwE0CqkOc4q9oUmW1yo/edit?usp=sharing"",""เชียงราย!I385"")"),0)</f>
        <v>0</v>
      </c>
      <c r="J490" s="188">
        <f ca="1">IFERROR(__xludf.DUMMYFUNCTION("IMPORTRANGE(""https://docs.google.com/spreadsheets/d/11923uPwbBZFjjGgGUA6NLw09EwE0CqkOc4q9oUmW1yo/edit?usp=sharing"",""เชียงราย!J385"")"),169)</f>
        <v>169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IFERROR(__xludf.DUMMYFUNCTION("IMPORTRANGE(""https://docs.google.com/spreadsheets/d/11923uPwbBZFjjGgGUA6NLw09EwE0CqkOc4q9oUmW1yo/edit?usp=sharing"",""เชียงราย!I386"")"),0)</f>
        <v>0</v>
      </c>
      <c r="J491" s="188">
        <f ca="1">IFERROR(__xludf.DUMMYFUNCTION("IMPORTRANGE(""https://docs.google.com/spreadsheets/d/11923uPwbBZFjjGgGUA6NLw09EwE0CqkOc4q9oUmW1yo/edit?usp=sharing"",""เชียงราย!J386"")"),1)</f>
        <v>1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IFERROR(__xludf.DUMMYFUNCTION("IMPORTRANGE(""https://docs.google.com/spreadsheets/d/11923uPwbBZFjjGgGUA6NLw09EwE0CqkOc4q9oUmW1yo/edit?usp=sharing"",""เชียงราย!I387"")"),0)</f>
        <v>0</v>
      </c>
      <c r="J492" s="188">
        <f ca="1">IFERROR(__xludf.DUMMYFUNCTION("IMPORTRANGE(""https://docs.google.com/spreadsheets/d/11923uPwbBZFjjGgGUA6NLw09EwE0CqkOc4q9oUmW1yo/edit?usp=sharing"",""เชียงราย!J387"")"),1)</f>
        <v>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IFERROR(__xludf.DUMMYFUNCTION("IMPORTRANGE(""https://docs.google.com/spreadsheets/d/11923uPwbBZFjjGgGUA6NLw09EwE0CqkOc4q9oUmW1yo/edit?usp=sharing"",""เชียงราย!I388"")"),0)</f>
        <v>0</v>
      </c>
      <c r="J493" s="188">
        <f ca="1">IFERROR(__xludf.DUMMYFUNCTION("IMPORTRANGE(""https://docs.google.com/spreadsheets/d/11923uPwbBZFjjGgGUA6NLw09EwE0CqkOc4q9oUmW1yo/edit?usp=sharing"",""เชียงราย!J388"")"),0)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IFERROR(__xludf.DUMMYFUNCTION("IMPORTRANGE(""https://docs.google.com/spreadsheets/d/11923uPwbBZFjjGgGUA6NLw09EwE0CqkOc4q9oUmW1yo/edit?usp=sharing"",""เชียงราย!I389"")"),0)</f>
        <v>0</v>
      </c>
      <c r="J494" s="436">
        <f ca="1">IFERROR(__xludf.DUMMYFUNCTION("IMPORTRANGE(""https://docs.google.com/spreadsheets/d/11923uPwbBZFjjGgGUA6NLw09EwE0CqkOc4q9oUmW1yo/edit?usp=sharing"",""เชียงราย!J389"")"),0)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IFERROR(__xludf.DUMMYFUNCTION("IMPORTRANGE(""https://docs.google.com/spreadsheets/d/11923uPwbBZFjjGgGUA6NLw09EwE0CqkOc4q9oUmW1yo/edit?usp=sharing"",""เชียงราย!I390"")"),0)</f>
        <v>0</v>
      </c>
      <c r="J495" s="436">
        <f ca="1">IFERROR(__xludf.DUMMYFUNCTION("IMPORTRANGE(""https://docs.google.com/spreadsheets/d/11923uPwbBZFjjGgGUA6NLw09EwE0CqkOc4q9oUmW1yo/edit?usp=sharing"",""เชียงราย!J390"")"),0)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IFERROR(__xludf.DUMMYFUNCTION("IMPORTRANGE(""https://docs.google.com/spreadsheets/d/11923uPwbBZFjjGgGUA6NLw09EwE0CqkOc4q9oUmW1yo/edit?usp=sharing"",""เชียงราย!I391"")"),0)</f>
        <v>0</v>
      </c>
      <c r="J496" s="436">
        <f ca="1">IFERROR(__xludf.DUMMYFUNCTION("IMPORTRANGE(""https://docs.google.com/spreadsheets/d/11923uPwbBZFjjGgGUA6NLw09EwE0CqkOc4q9oUmW1yo/edit?usp=sharing"",""เชียงราย!J391"")"),0)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IFERROR(__xludf.DUMMYFUNCTION("IMPORTRANGE(""https://docs.google.com/spreadsheets/d/11923uPwbBZFjjGgGUA6NLw09EwE0CqkOc4q9oUmW1yo/edit?usp=sharing"",""เชียงราย!I392"")"),707)</f>
        <v>707</v>
      </c>
      <c r="J497" s="443">
        <f ca="1">IFERROR(__xludf.DUMMYFUNCTION("IMPORTRANGE(""https://docs.google.com/spreadsheets/d/11923uPwbBZFjjGgGUA6NLw09EwE0CqkOc4q9oUmW1yo/edit?usp=sharing"",""เชียงราย!J392"")"),694)</f>
        <v>694</v>
      </c>
      <c r="K497" s="444">
        <f t="shared" ca="1" si="117"/>
        <v>98.161244695898162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IFERROR(__xludf.DUMMYFUNCTION("IMPORTRANGE(""https://docs.google.com/spreadsheets/d/11923uPwbBZFjjGgGUA6NLw09EwE0CqkOc4q9oUmW1yo/edit?usp=sharing"",""เชียงราย!I393"")"),707)</f>
        <v>707</v>
      </c>
      <c r="J498" s="420">
        <f ca="1">IFERROR(__xludf.DUMMYFUNCTION("IMPORTRANGE(""https://docs.google.com/spreadsheets/d/11923uPwbBZFjjGgGUA6NLw09EwE0CqkOc4q9oUmW1yo/edit?usp=sharing"",""เชียงราย!J393"")"),694)</f>
        <v>694</v>
      </c>
      <c r="K498" s="201">
        <f t="shared" ca="1" si="117"/>
        <v>98.161244695898162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IFERROR(__xludf.DUMMYFUNCTION("IMPORTRANGE(""https://docs.google.com/spreadsheets/d/11923uPwbBZFjjGgGUA6NLw09EwE0CqkOc4q9oUmW1yo/edit?usp=sharing"",""เชียงราย!I394"")"),94)</f>
        <v>94</v>
      </c>
      <c r="J499" s="420">
        <f ca="1">IFERROR(__xludf.DUMMYFUNCTION("IMPORTRANGE(""https://docs.google.com/spreadsheets/d/11923uPwbBZFjjGgGUA6NLw09EwE0CqkOc4q9oUmW1yo/edit?usp=sharing"",""เชียงราย!J394"")"),92)</f>
        <v>92</v>
      </c>
      <c r="K499" s="201">
        <f t="shared" ca="1" si="117"/>
        <v>97.872340425531917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IFERROR(__xludf.DUMMYFUNCTION("IMPORTRANGE(""https://docs.google.com/spreadsheets/d/11923uPwbBZFjjGgGUA6NLw09EwE0CqkOc4q9oUmW1yo/edit?usp=sharing"",""เชียงราย!I395"")"),0)</f>
        <v>0</v>
      </c>
      <c r="J500" s="162">
        <f ca="1">IFERROR(__xludf.DUMMYFUNCTION("IMPORTRANGE(""https://docs.google.com/spreadsheets/d/11923uPwbBZFjjGgGUA6NLw09EwE0CqkOc4q9oUmW1yo/edit?usp=sharing"",""เชียงราย!J395"")"),552)</f>
        <v>552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IFERROR(__xludf.DUMMYFUNCTION("IMPORTRANGE(""https://docs.google.com/spreadsheets/d/11923uPwbBZFjjGgGUA6NLw09EwE0CqkOc4q9oUmW1yo/edit?usp=sharing"",""เชียงราย!I396"")"),0)</f>
        <v>0</v>
      </c>
      <c r="J501" s="162">
        <f ca="1">IFERROR(__xludf.DUMMYFUNCTION("IMPORTRANGE(""https://docs.google.com/spreadsheets/d/11923uPwbBZFjjGgGUA6NLw09EwE0CqkOc4q9oUmW1yo/edit?usp=sharing"",""เชียงราย!J396"")"),73)</f>
        <v>73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IFERROR(__xludf.DUMMYFUNCTION("IMPORTRANGE(""https://docs.google.com/spreadsheets/d/11923uPwbBZFjjGgGUA6NLw09EwE0CqkOc4q9oUmW1yo/edit?usp=sharing"",""เชียงราย!I397"")"),0)</f>
        <v>0</v>
      </c>
      <c r="J502" s="188">
        <f ca="1">IFERROR(__xludf.DUMMYFUNCTION("IMPORTRANGE(""https://docs.google.com/spreadsheets/d/11923uPwbBZFjjGgGUA6NLw09EwE0CqkOc4q9oUmW1yo/edit?usp=sharing"",""เชียงราย!J397"")"),552)</f>
        <v>552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IFERROR(__xludf.DUMMYFUNCTION("IMPORTRANGE(""https://docs.google.com/spreadsheets/d/11923uPwbBZFjjGgGUA6NLw09EwE0CqkOc4q9oUmW1yo/edit?usp=sharing"",""เชียงราย!I398"")"),0)</f>
        <v>0</v>
      </c>
      <c r="J503" s="197">
        <f ca="1">IFERROR(__xludf.DUMMYFUNCTION("IMPORTRANGE(""https://docs.google.com/spreadsheets/d/11923uPwbBZFjjGgGUA6NLw09EwE0CqkOc4q9oUmW1yo/edit?usp=sharing"",""เชียงราย!J398"")"),73)</f>
        <v>73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IFERROR(__xludf.DUMMYFUNCTION("IMPORTRANGE(""https://docs.google.com/spreadsheets/d/11923uPwbBZFjjGgGUA6NLw09EwE0CqkOc4q9oUmW1yo/edit?usp=sharing"",""เชียงราย!I399"")"),0)</f>
        <v>0</v>
      </c>
      <c r="J504" s="188">
        <f ca="1">IFERROR(__xludf.DUMMYFUNCTION("IMPORTRANGE(""https://docs.google.com/spreadsheets/d/11923uPwbBZFjjGgGUA6NLw09EwE0CqkOc4q9oUmW1yo/edit?usp=sharing"",""เชียงราย!J399"")"),0)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IFERROR(__xludf.DUMMYFUNCTION("IMPORTRANGE(""https://docs.google.com/spreadsheets/d/11923uPwbBZFjjGgGUA6NLw09EwE0CqkOc4q9oUmW1yo/edit?usp=sharing"",""เชียงราย!I400"")"),0)</f>
        <v>0</v>
      </c>
      <c r="J505" s="197">
        <f ca="1">IFERROR(__xludf.DUMMYFUNCTION("IMPORTRANGE(""https://docs.google.com/spreadsheets/d/11923uPwbBZFjjGgGUA6NLw09EwE0CqkOc4q9oUmW1yo/edit?usp=sharing"",""เชียงราย!J400"")"),0)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IFERROR(__xludf.DUMMYFUNCTION("IMPORTRANGE(""https://docs.google.com/spreadsheets/d/11923uPwbBZFjjGgGUA6NLw09EwE0CqkOc4q9oUmW1yo/edit?usp=sharing"",""เชียงราย!I401"")"),0)</f>
        <v>0</v>
      </c>
      <c r="J506" s="188">
        <f ca="1">IFERROR(__xludf.DUMMYFUNCTION("IMPORTRANGE(""https://docs.google.com/spreadsheets/d/11923uPwbBZFjjGgGUA6NLw09EwE0CqkOc4q9oUmW1yo/edit?usp=sharing"",""เชียงราย!J401"")"),0)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IFERROR(__xludf.DUMMYFUNCTION("IMPORTRANGE(""https://docs.google.com/spreadsheets/d/11923uPwbBZFjjGgGUA6NLw09EwE0CqkOc4q9oUmW1yo/edit?usp=sharing"",""เชียงราย!I402"")"),0)</f>
        <v>0</v>
      </c>
      <c r="J507" s="197">
        <f ca="1">IFERROR(__xludf.DUMMYFUNCTION("IMPORTRANGE(""https://docs.google.com/spreadsheets/d/11923uPwbBZFjjGgGUA6NLw09EwE0CqkOc4q9oUmW1yo/edit?usp=sharing"",""เชียงราย!J402"")"),0)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IFERROR(__xludf.DUMMYFUNCTION("IMPORTRANGE(""https://docs.google.com/spreadsheets/d/11923uPwbBZFjjGgGUA6NLw09EwE0CqkOc4q9oUmW1yo/edit?usp=sharing"",""เชียงราย!I403"")"),0)</f>
        <v>0</v>
      </c>
      <c r="J508" s="162">
        <f ca="1">IFERROR(__xludf.DUMMYFUNCTION("IMPORTRANGE(""https://docs.google.com/spreadsheets/d/11923uPwbBZFjjGgGUA6NLw09EwE0CqkOc4q9oUmW1yo/edit?usp=sharing"",""เชียงราย!J403"")"),141)</f>
        <v>141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IFERROR(__xludf.DUMMYFUNCTION("IMPORTRANGE(""https://docs.google.com/spreadsheets/d/11923uPwbBZFjjGgGUA6NLw09EwE0CqkOc4q9oUmW1yo/edit?usp=sharing"",""เชียงราย!I404"")"),0)</f>
        <v>0</v>
      </c>
      <c r="J509" s="162">
        <f ca="1">IFERROR(__xludf.DUMMYFUNCTION("IMPORTRANGE(""https://docs.google.com/spreadsheets/d/11923uPwbBZFjjGgGUA6NLw09EwE0CqkOc4q9oUmW1yo/edit?usp=sharing"",""เชียงราย!J404"")"),18)</f>
        <v>18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IFERROR(__xludf.DUMMYFUNCTION("IMPORTRANGE(""https://docs.google.com/spreadsheets/d/11923uPwbBZFjjGgGUA6NLw09EwE0CqkOc4q9oUmW1yo/edit?usp=sharing"",""เชียงราย!I405"")"),0)</f>
        <v>0</v>
      </c>
      <c r="J510" s="197">
        <f ca="1">IFERROR(__xludf.DUMMYFUNCTION("IMPORTRANGE(""https://docs.google.com/spreadsheets/d/11923uPwbBZFjjGgGUA6NLw09EwE0CqkOc4q9oUmW1yo/edit?usp=sharing"",""เชียงราย!J405"")"),141)</f>
        <v>141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IFERROR(__xludf.DUMMYFUNCTION("IMPORTRANGE(""https://docs.google.com/spreadsheets/d/11923uPwbBZFjjGgGUA6NLw09EwE0CqkOc4q9oUmW1yo/edit?usp=sharing"",""เชียงราย!I406"")"),0)</f>
        <v>0</v>
      </c>
      <c r="J511" s="197">
        <f ca="1">IFERROR(__xludf.DUMMYFUNCTION("IMPORTRANGE(""https://docs.google.com/spreadsheets/d/11923uPwbBZFjjGgGUA6NLw09EwE0CqkOc4q9oUmW1yo/edit?usp=sharing"",""เชียงราย!J406"")"),18)</f>
        <v>18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IFERROR(__xludf.DUMMYFUNCTION("IMPORTRANGE(""https://docs.google.com/spreadsheets/d/11923uPwbBZFjjGgGUA6NLw09EwE0CqkOc4q9oUmW1yo/edit?usp=sharing"",""เชียงราย!I407"")"),0)</f>
        <v>0</v>
      </c>
      <c r="J512" s="197">
        <f ca="1">IFERROR(__xludf.DUMMYFUNCTION("IMPORTRANGE(""https://docs.google.com/spreadsheets/d/11923uPwbBZFjjGgGUA6NLw09EwE0CqkOc4q9oUmW1yo/edit?usp=sharing"",""เชียงราย!J407"")"),0)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IFERROR(__xludf.DUMMYFUNCTION("IMPORTRANGE(""https://docs.google.com/spreadsheets/d/11923uPwbBZFjjGgGUA6NLw09EwE0CqkOc4q9oUmW1yo/edit?usp=sharing"",""เชียงราย!I408"")"),0)</f>
        <v>0</v>
      </c>
      <c r="J513" s="197">
        <f ca="1">IFERROR(__xludf.DUMMYFUNCTION("IMPORTRANGE(""https://docs.google.com/spreadsheets/d/11923uPwbBZFjjGgGUA6NLw09EwE0CqkOc4q9oUmW1yo/edit?usp=sharing"",""เชียงราย!J408"")"),0)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IFERROR(__xludf.DUMMYFUNCTION("IMPORTRANGE(""https://docs.google.com/spreadsheets/d/11923uPwbBZFjjGgGUA6NLw09EwE0CqkOc4q9oUmW1yo/edit?usp=sharing"",""เชียงราย!I409"")"),0)</f>
        <v>0</v>
      </c>
      <c r="J514" s="197">
        <f ca="1">IFERROR(__xludf.DUMMYFUNCTION("IMPORTRANGE(""https://docs.google.com/spreadsheets/d/11923uPwbBZFjjGgGUA6NLw09EwE0CqkOc4q9oUmW1yo/edit?usp=sharing"",""เชียงราย!J409"")"),1)</f>
        <v>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IFERROR(__xludf.DUMMYFUNCTION("IMPORTRANGE(""https://docs.google.com/spreadsheets/d/11923uPwbBZFjjGgGUA6NLw09EwE0CqkOc4q9oUmW1yo/edit?usp=sharing"",""เชียงราย!I410"")"),0)</f>
        <v>0</v>
      </c>
      <c r="J515" s="197">
        <f ca="1">IFERROR(__xludf.DUMMYFUNCTION("IMPORTRANGE(""https://docs.google.com/spreadsheets/d/11923uPwbBZFjjGgGUA6NLw09EwE0CqkOc4q9oUmW1yo/edit?usp=sharing"",""เชียงราย!J410"")"),1)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IFERROR(__xludf.DUMMYFUNCTION("IMPORTRANGE(""https://docs.google.com/spreadsheets/d/11923uPwbBZFjjGgGUA6NLw09EwE0CqkOc4q9oUmW1yo/edit?usp=sharing"",""เชียงราย!I411"")"),0)</f>
        <v>0</v>
      </c>
      <c r="J516" s="267">
        <f ca="1">IFERROR(__xludf.DUMMYFUNCTION("IMPORTRANGE(""https://docs.google.com/spreadsheets/d/11923uPwbBZFjjGgGUA6NLw09EwE0CqkOc4q9oUmW1yo/edit?usp=sharing"",""เชียงราย!J411"")"),0)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IFERROR(__xludf.DUMMYFUNCTION("IMPORTRANGE(""https://docs.google.com/spreadsheets/d/11923uPwbBZFjjGgGUA6NLw09EwE0CqkOc4q9oUmW1yo/edit?usp=sharing"",""เชียงราย!I412"")"),0)</f>
        <v>0</v>
      </c>
      <c r="J517" s="284">
        <f ca="1">IFERROR(__xludf.DUMMYFUNCTION("IMPORTRANGE(""https://docs.google.com/spreadsheets/d/11923uPwbBZFjjGgGUA6NLw09EwE0CqkOc4q9oUmW1yo/edit?usp=sharing"",""เชียงราย!J412"")"),0)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IFERROR(__xludf.DUMMYFUNCTION("IMPORTRANGE(""https://docs.google.com/spreadsheets/d/11923uPwbBZFjjGgGUA6NLw09EwE0CqkOc4q9oUmW1yo/edit?usp=sharing"",""เชียงราย!I413"")"),0)</f>
        <v>0</v>
      </c>
      <c r="J518" s="284">
        <f ca="1">IFERROR(__xludf.DUMMYFUNCTION("IMPORTRANGE(""https://docs.google.com/spreadsheets/d/11923uPwbBZFjjGgGUA6NLw09EwE0CqkOc4q9oUmW1yo/edit?usp=sharing"",""เชียงราย!J413"")"),0)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IFERROR(__xludf.DUMMYFUNCTION("IMPORTRANGE(""https://docs.google.com/spreadsheets/d/11923uPwbBZFjjGgGUA6NLw09EwE0CqkOc4q9oUmW1yo/edit?usp=sharing"",""เชียงราย!I414"")"),0)</f>
        <v>0</v>
      </c>
      <c r="J519" s="187">
        <f ca="1">IFERROR(__xludf.DUMMYFUNCTION("IMPORTRANGE(""https://docs.google.com/spreadsheets/d/11923uPwbBZFjjGgGUA6NLw09EwE0CqkOc4q9oUmW1yo/edit?usp=sharing"",""เชียงราย!J414"")"),0)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IFERROR(__xludf.DUMMYFUNCTION("IMPORTRANGE(""https://docs.google.com/spreadsheets/d/11923uPwbBZFjjGgGUA6NLw09EwE0CqkOc4q9oUmW1yo/edit?usp=sharing"",""เชียงราย!I415"")"),0)</f>
        <v>0</v>
      </c>
      <c r="J520" s="187">
        <f ca="1">IFERROR(__xludf.DUMMYFUNCTION("IMPORTRANGE(""https://docs.google.com/spreadsheets/d/11923uPwbBZFjjGgGUA6NLw09EwE0CqkOc4q9oUmW1yo/edit?usp=sharing"",""เชียงราย!J415"")"),0)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IFERROR(__xludf.DUMMYFUNCTION("IMPORTRANGE(""https://docs.google.com/spreadsheets/d/11923uPwbBZFjjGgGUA6NLw09EwE0CqkOc4q9oUmW1yo/edit?usp=sharing"",""เชียงราย!I416"")"),0)</f>
        <v>0</v>
      </c>
      <c r="J521" s="187">
        <f ca="1">IFERROR(__xludf.DUMMYFUNCTION("IMPORTRANGE(""https://docs.google.com/spreadsheets/d/11923uPwbBZFjjGgGUA6NLw09EwE0CqkOc4q9oUmW1yo/edit?usp=sharing"",""เชียงราย!J416"")"),0)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IFERROR(__xludf.DUMMYFUNCTION("IMPORTRANGE(""https://docs.google.com/spreadsheets/d/11923uPwbBZFjjGgGUA6NLw09EwE0CqkOc4q9oUmW1yo/edit?usp=sharing"",""เชียงราย!I417"")"),0)</f>
        <v>0</v>
      </c>
      <c r="J522" s="187">
        <f ca="1">IFERROR(__xludf.DUMMYFUNCTION("IMPORTRANGE(""https://docs.google.com/spreadsheets/d/11923uPwbBZFjjGgGUA6NLw09EwE0CqkOc4q9oUmW1yo/edit?usp=sharing"",""เชียงราย!J417"")"),0)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IFERROR(__xludf.DUMMYFUNCTION("IMPORTRANGE(""https://docs.google.com/spreadsheets/d/11923uPwbBZFjjGgGUA6NLw09EwE0CqkOc4q9oUmW1yo/edit?usp=sharing"",""เชียงราย!I418"")"),0)</f>
        <v>0</v>
      </c>
      <c r="J523" s="187">
        <f ca="1">IFERROR(__xludf.DUMMYFUNCTION("IMPORTRANGE(""https://docs.google.com/spreadsheets/d/11923uPwbBZFjjGgGUA6NLw09EwE0CqkOc4q9oUmW1yo/edit?usp=sharing"",""เชียงราย!J418"")"),110)</f>
        <v>110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IFERROR(__xludf.DUMMYFUNCTION("IMPORTRANGE(""https://docs.google.com/spreadsheets/d/11923uPwbBZFjjGgGUA6NLw09EwE0CqkOc4q9oUmW1yo/edit?usp=sharing"",""เชียงราย!I419"")"),0)</f>
        <v>0</v>
      </c>
      <c r="J524" s="187">
        <f ca="1">IFERROR(__xludf.DUMMYFUNCTION("IMPORTRANGE(""https://docs.google.com/spreadsheets/d/11923uPwbBZFjjGgGUA6NLw09EwE0CqkOc4q9oUmW1yo/edit?usp=sharing"",""เชียงราย!J419"")"),15)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IFERROR(__xludf.DUMMYFUNCTION("IMPORTRANGE(""https://docs.google.com/spreadsheets/d/11923uPwbBZFjjGgGUA6NLw09EwE0CqkOc4q9oUmW1yo/edit?usp=sharing"",""เชียงราย!I420"")"),110)</f>
        <v>110</v>
      </c>
      <c r="J525" s="284">
        <f ca="1">IFERROR(__xludf.DUMMYFUNCTION("IMPORTRANGE(""https://docs.google.com/spreadsheets/d/11923uPwbBZFjjGgGUA6NLw09EwE0CqkOc4q9oUmW1yo/edit?usp=sharing"",""เชียงราย!J420"")"),110)</f>
        <v>110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IFERROR(__xludf.DUMMYFUNCTION("IMPORTRANGE(""https://docs.google.com/spreadsheets/d/11923uPwbBZFjjGgGUA6NLw09EwE0CqkOc4q9oUmW1yo/edit?usp=sharing"",""เชียงราย!I421"")"),15)</f>
        <v>15</v>
      </c>
      <c r="J526" s="284">
        <f ca="1">IFERROR(__xludf.DUMMYFUNCTION("IMPORTRANGE(""https://docs.google.com/spreadsheets/d/11923uPwbBZFjjGgGUA6NLw09EwE0CqkOc4q9oUmW1yo/edit?usp=sharing"",""เชียงราย!J421"")"),15)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IFERROR(__xludf.DUMMYFUNCTION("IMPORTRANGE(""https://docs.google.com/spreadsheets/d/11923uPwbBZFjjGgGUA6NLw09EwE0CqkOc4q9oUmW1yo/edit?usp=sharing"",""เชียงราย!I422"")"),0)</f>
        <v>0</v>
      </c>
      <c r="J527" s="197">
        <f ca="1">IFERROR(__xludf.DUMMYFUNCTION("IMPORTRANGE(""https://docs.google.com/spreadsheets/d/11923uPwbBZFjjGgGUA6NLw09EwE0CqkOc4q9oUmW1yo/edit?usp=sharing"",""เชียงราย!J422"")"),110)</f>
        <v>110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IFERROR(__xludf.DUMMYFUNCTION("IMPORTRANGE(""https://docs.google.com/spreadsheets/d/11923uPwbBZFjjGgGUA6NLw09EwE0CqkOc4q9oUmW1yo/edit?usp=sharing"",""เชียงราย!I423"")"),0)</f>
        <v>0</v>
      </c>
      <c r="J528" s="197">
        <f ca="1">IFERROR(__xludf.DUMMYFUNCTION("IMPORTRANGE(""https://docs.google.com/spreadsheets/d/11923uPwbBZFjjGgGUA6NLw09EwE0CqkOc4q9oUmW1yo/edit?usp=sharing"",""เชียงราย!J423"")"),15)</f>
        <v>15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IFERROR(__xludf.DUMMYFUNCTION("IMPORTRANGE(""https://docs.google.com/spreadsheets/d/11923uPwbBZFjjGgGUA6NLw09EwE0CqkOc4q9oUmW1yo/edit?usp=sharing"",""เชียงราย!I424"")"),0)</f>
        <v>0</v>
      </c>
      <c r="J529" s="197">
        <f ca="1">IFERROR(__xludf.DUMMYFUNCTION("IMPORTRANGE(""https://docs.google.com/spreadsheets/d/11923uPwbBZFjjGgGUA6NLw09EwE0CqkOc4q9oUmW1yo/edit?usp=sharing"",""เชียงราย!J424"")"),0)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IFERROR(__xludf.DUMMYFUNCTION("IMPORTRANGE(""https://docs.google.com/spreadsheets/d/11923uPwbBZFjjGgGUA6NLw09EwE0CqkOc4q9oUmW1yo/edit?usp=sharing"",""เชียงราย!I425"")"),0)</f>
        <v>0</v>
      </c>
      <c r="J530" s="197">
        <f ca="1">IFERROR(__xludf.DUMMYFUNCTION("IMPORTRANGE(""https://docs.google.com/spreadsheets/d/11923uPwbBZFjjGgGUA6NLw09EwE0CqkOc4q9oUmW1yo/edit?usp=sharing"",""เชียงราย!J425"")"),0)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IFERROR(__xludf.DUMMYFUNCTION("IMPORTRANGE(""https://docs.google.com/spreadsheets/d/11923uPwbBZFjjGgGUA6NLw09EwE0CqkOc4q9oUmW1yo/edit?usp=sharing"",""เชียงราย!I426"")"),0)</f>
        <v>0</v>
      </c>
      <c r="J531" s="197">
        <f ca="1">IFERROR(__xludf.DUMMYFUNCTION("IMPORTRANGE(""https://docs.google.com/spreadsheets/d/11923uPwbBZFjjGgGUA6NLw09EwE0CqkOc4q9oUmW1yo/edit?usp=sharing"",""เชียงราย!J426"")"),0)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IFERROR(__xludf.DUMMYFUNCTION("IMPORTRANGE(""https://docs.google.com/spreadsheets/d/11923uPwbBZFjjGgGUA6NLw09EwE0CqkOc4q9oUmW1yo/edit?usp=sharing"",""เชียงราย!I427"")"),0)</f>
        <v>0</v>
      </c>
      <c r="J532" s="466">
        <f ca="1">IFERROR(__xludf.DUMMYFUNCTION("IMPORTRANGE(""https://docs.google.com/spreadsheets/d/11923uPwbBZFjjGgGUA6NLw09EwE0CqkOc4q9oUmW1yo/edit?usp=sharing"",""เชียงราย!J427"")"),0)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IFERROR(__xludf.DUMMYFUNCTION("IMPORTRANGE(""https://docs.google.com/spreadsheets/d/11923uPwbBZFjjGgGUA6NLw09EwE0CqkOc4q9oUmW1yo/edit?usp=sharing"",""เชียงราย!I428"")"),30)</f>
        <v>30</v>
      </c>
      <c r="J533" s="409">
        <f ca="1">IFERROR(__xludf.DUMMYFUNCTION("IMPORTRANGE(""https://docs.google.com/spreadsheets/d/11923uPwbBZFjjGgGUA6NLw09EwE0CqkOc4q9oUmW1yo/edit?usp=sharing"",""เชียงราย!J428"")"),30)</f>
        <v>30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IFERROR(__xludf.DUMMYFUNCTION("IMPORTRANGE(""https://docs.google.com/spreadsheets/d/11923uPwbBZFjjGgGUA6NLw09EwE0CqkOc4q9oUmW1yo/edit?usp=sharing"",""เชียงราย!L428"")"),41150)</f>
        <v>41150</v>
      </c>
      <c r="M533" s="411"/>
      <c r="N533" s="411">
        <f ca="1">IFERROR(__xludf.DUMMYFUNCTION("IMPORTRANGE(""https://docs.google.com/spreadsheets/d/11923uPwbBZFjjGgGUA6NLw09EwE0CqkOc4q9oUmW1yo/edit?usp=sharing"",""เชียงราย!M428"")"),30893)</f>
        <v>30893</v>
      </c>
      <c r="O533" s="411">
        <f t="shared" ref="O533:O537" ca="1" si="118">+IF(L533&gt;0,N533*100/L533,0)</f>
        <v>75.074119076549209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IFERROR(__xludf.DUMMYFUNCTION("IMPORTRANGE(""https://docs.google.com/spreadsheets/d/11923uPwbBZFjjGgGUA6NLw09EwE0CqkOc4q9oUmW1yo/edit?usp=sharing"",""เชียงราย!L429"")"),0)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IFERROR(__xludf.DUMMYFUNCTION("IMPORTRANGE(""https://docs.google.com/spreadsheets/d/11923uPwbBZFjjGgGUA6NLw09EwE0CqkOc4q9oUmW1yo/edit?usp=sharing"",""เชียงราย!M429"")"),0)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IFERROR(__xludf.DUMMYFUNCTION("IMPORTRANGE(""https://docs.google.com/spreadsheets/d/11923uPwbBZFjjGgGUA6NLw09EwE0CqkOc4q9oUmW1yo/edit?usp=sharing"",""เชียงราย!L430"")"),41150)</f>
        <v>41150</v>
      </c>
      <c r="M535" s="165"/>
      <c r="N535" s="168">
        <f ca="1">IFERROR(__xludf.DUMMYFUNCTION("IMPORTRANGE(""https://docs.google.com/spreadsheets/d/11923uPwbBZFjjGgGUA6NLw09EwE0CqkOc4q9oUmW1yo/edit?usp=sharing"",""เชียงราย!M430"")"),30893)</f>
        <v>30893</v>
      </c>
      <c r="O535" s="168">
        <f t="shared" ca="1" si="118"/>
        <v>75.074119076549209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IFERROR(__xludf.DUMMYFUNCTION("IMPORTRANGE(""https://docs.google.com/spreadsheets/d/11923uPwbBZFjjGgGUA6NLw09EwE0CqkOc4q9oUmW1yo/edit?usp=sharing"",""เชียงราย!L431"")"),0)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IFERROR(__xludf.DUMMYFUNCTION("IMPORTRANGE(""https://docs.google.com/spreadsheets/d/11923uPwbBZFjjGgGUA6NLw09EwE0CqkOc4q9oUmW1yo/edit?usp=sharing"",""เชียงราย!M431"")"),0)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IFERROR(__xludf.DUMMYFUNCTION("IMPORTRANGE(""https://docs.google.com/spreadsheets/d/11923uPwbBZFjjGgGUA6NLw09EwE0CqkOc4q9oUmW1yo/edit?usp=sharing"",""เชียงราย!L432"")"),41150)</f>
        <v>41150</v>
      </c>
      <c r="M537" s="168"/>
      <c r="N537" s="168">
        <f ca="1">IFERROR(__xludf.DUMMYFUNCTION("IMPORTRANGE(""https://docs.google.com/spreadsheets/d/11923uPwbBZFjjGgGUA6NLw09EwE0CqkOc4q9oUmW1yo/edit?usp=sharing"",""เชียงราย!M432"")"),30893)</f>
        <v>30893</v>
      </c>
      <c r="O537" s="168">
        <f t="shared" ca="1" si="118"/>
        <v>75.074119076549209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IFERROR(__xludf.DUMMYFUNCTION("IMPORTRANGE(""https://docs.google.com/spreadsheets/d/11923uPwbBZFjjGgGUA6NLw09EwE0CqkOc4q9oUmW1yo/edit?usp=sharing"",""เชียงราย!M433"")"),30893)</f>
        <v>30893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IFERROR(__xludf.DUMMYFUNCTION("IMPORTRANGE(""https://docs.google.com/spreadsheets/d/11923uPwbBZFjjGgGUA6NLw09EwE0CqkOc4q9oUmW1yo/edit?usp=sharing"",""เชียงราย!M434"")"),0)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IFERROR(__xludf.DUMMYFUNCTION("IMPORTRANGE(""https://docs.google.com/spreadsheets/d/11923uPwbBZFjjGgGUA6NLw09EwE0CqkOc4q9oUmW1yo/edit?usp=sharing"",""เชียงราย!M435"")"),0)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IFERROR(__xludf.DUMMYFUNCTION("IMPORTRANGE(""https://docs.google.com/spreadsheets/d/11923uPwbBZFjjGgGUA6NLw09EwE0CqkOc4q9oUmW1yo/edit?usp=sharing"",""เชียงราย!M436"")"),0)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IFERROR(__xludf.DUMMYFUNCTION("IMPORTRANGE(""https://docs.google.com/spreadsheets/d/11923uPwbBZFjjGgGUA6NLw09EwE0CqkOc4q9oUmW1yo/edit?usp=sharing"",""เชียงราย!J438"")"),0)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IFERROR(__xludf.DUMMYFUNCTION("IMPORTRANGE(""https://docs.google.com/spreadsheets/d/11923uPwbBZFjjGgGUA6NLw09EwE0CqkOc4q9oUmW1yo/edit?usp=sharing"",""เชียงราย!J439"")"),1)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IFERROR(__xludf.DUMMYFUNCTION("IMPORTRANGE(""https://docs.google.com/spreadsheets/d/11923uPwbBZFjjGgGUA6NLw09EwE0CqkOc4q9oUmW1yo/edit?usp=sharing"",""เชียงราย!J440"")"),1)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IFERROR(__xludf.DUMMYFUNCTION("IMPORTRANGE(""https://docs.google.com/spreadsheets/d/11923uPwbBZFjjGgGUA6NLw09EwE0CqkOc4q9oUmW1yo/edit?usp=sharing"",""เชียงราย!J441"")"),1)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IFERROR(__xludf.DUMMYFUNCTION("IMPORTRANGE(""https://docs.google.com/spreadsheets/d/11923uPwbBZFjjGgGUA6NLw09EwE0CqkOc4q9oUmW1yo/edit?usp=sharing"",""เชียงราย!I442"")"),30)</f>
        <v>30</v>
      </c>
      <c r="J547" s="188">
        <f ca="1">IFERROR(__xludf.DUMMYFUNCTION("IMPORTRANGE(""https://docs.google.com/spreadsheets/d/11923uPwbBZFjjGgGUA6NLw09EwE0CqkOc4q9oUmW1yo/edit?usp=sharing"",""เชียงราย!J442"")"),30)</f>
        <v>30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IFERROR(__xludf.DUMMYFUNCTION("IMPORTRANGE(""https://docs.google.com/spreadsheets/d/11923uPwbBZFjjGgGUA6NLw09EwE0CqkOc4q9oUmW1yo/edit?usp=sharing"",""เชียงราย!J166"")"),0)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IFERROR(__xludf.DUMMYFUNCTION("IMPORTRANGE(""https://docs.google.com/spreadsheets/d/11923uPwbBZFjjGgGUA6NLw09EwE0CqkOc4q9oUmW1yo/edit?usp=sharing"",""เชียงราย!J444"")"),0)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IFERROR(__xludf.DUMMYFUNCTION("IMPORTRANGE(""https://docs.google.com/spreadsheets/d/11923uPwbBZFjjGgGUA6NLw09EwE0CqkOc4q9oUmW1yo/edit?usp=sharing"",""เชียงราย!J445"")"),0)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IFERROR(__xludf.DUMMYFUNCTION("IMPORTRANGE(""https://docs.google.com/spreadsheets/d/11923uPwbBZFjjGgGUA6NLw09EwE0CqkOc4q9oUmW1yo/edit?usp=sharing"",""เชียงราย!I446"")"),0)</f>
        <v>0</v>
      </c>
      <c r="J551" s="409">
        <f ca="1">IFERROR(__xludf.DUMMYFUNCTION("IMPORTRANGE(""https://docs.google.com/spreadsheets/d/11923uPwbBZFjjGgGUA6NLw09EwE0CqkOc4q9oUmW1yo/edit?usp=sharing"",""เชียงราย!J446"")"),0)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IFERROR(__xludf.DUMMYFUNCTION("IMPORTRANGE(""https://docs.google.com/spreadsheets/d/11923uPwbBZFjjGgGUA6NLw09EwE0CqkOc4q9oUmW1yo/edit?usp=sharing"",""เชียงราย!L446"")"),0)</f>
        <v>0</v>
      </c>
      <c r="M551" s="411"/>
      <c r="N551" s="411">
        <f ca="1">IFERROR(__xludf.DUMMYFUNCTION("IMPORTRANGE(""https://docs.google.com/spreadsheets/d/11923uPwbBZFjjGgGUA6NLw09EwE0CqkOc4q9oUmW1yo/edit?usp=sharing"",""เชียงราย!M446"")"),0)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IFERROR(__xludf.DUMMYFUNCTION("IMPORTRANGE(""https://docs.google.com/spreadsheets/d/11923uPwbBZFjjGgGUA6NLw09EwE0CqkOc4q9oUmW1yo/edit?usp=sharing"",""เชียงราย!L447"")"),0)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IFERROR(__xludf.DUMMYFUNCTION("IMPORTRANGE(""https://docs.google.com/spreadsheets/d/11923uPwbBZFjjGgGUA6NLw09EwE0CqkOc4q9oUmW1yo/edit?usp=sharing"",""เชียงราย!M447"")"),0)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IFERROR(__xludf.DUMMYFUNCTION("IMPORTRANGE(""https://docs.google.com/spreadsheets/d/11923uPwbBZFjjGgGUA6NLw09EwE0CqkOc4q9oUmW1yo/edit?usp=sharing"",""เชียงราย!L448"")"),0)</f>
        <v>0</v>
      </c>
      <c r="M553" s="165"/>
      <c r="N553" s="168">
        <f ca="1">IFERROR(__xludf.DUMMYFUNCTION("IMPORTRANGE(""https://docs.google.com/spreadsheets/d/11923uPwbBZFjjGgGUA6NLw09EwE0CqkOc4q9oUmW1yo/edit?usp=sharing"",""เชียงราย!M448"")"),0)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IFERROR(__xludf.DUMMYFUNCTION("IMPORTRANGE(""https://docs.google.com/spreadsheets/d/11923uPwbBZFjjGgGUA6NLw09EwE0CqkOc4q9oUmW1yo/edit?usp=sharing"",""เชียงราย!L449"")"),0)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IFERROR(__xludf.DUMMYFUNCTION("IMPORTRANGE(""https://docs.google.com/spreadsheets/d/11923uPwbBZFjjGgGUA6NLw09EwE0CqkOc4q9oUmW1yo/edit?usp=sharing"",""เชียงราย!M449"")"),0)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IFERROR(__xludf.DUMMYFUNCTION("IMPORTRANGE(""https://docs.google.com/spreadsheets/d/11923uPwbBZFjjGgGUA6NLw09EwE0CqkOc4q9oUmW1yo/edit?usp=sharing"",""เชียงราย!L450"")"),0)</f>
        <v>0</v>
      </c>
      <c r="M555" s="168"/>
      <c r="N555" s="168">
        <f ca="1">IFERROR(__xludf.DUMMYFUNCTION("IMPORTRANGE(""https://docs.google.com/spreadsheets/d/11923uPwbBZFjjGgGUA6NLw09EwE0CqkOc4q9oUmW1yo/edit?usp=sharing"",""เชียงราย!M450"")"),0)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IFERROR(__xludf.DUMMYFUNCTION("IMPORTRANGE(""https://docs.google.com/spreadsheets/d/11923uPwbBZFjjGgGUA6NLw09EwE0CqkOc4q9oUmW1yo/edit?usp=sharing"",""เชียงราย!M451"")"),0)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IFERROR(__xludf.DUMMYFUNCTION("IMPORTRANGE(""https://docs.google.com/spreadsheets/d/11923uPwbBZFjjGgGUA6NLw09EwE0CqkOc4q9oUmW1yo/edit?usp=sharing"",""เชียงราย!M452"")"),0)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IFERROR(__xludf.DUMMYFUNCTION("IMPORTRANGE(""https://docs.google.com/spreadsheets/d/11923uPwbBZFjjGgGUA6NLw09EwE0CqkOc4q9oUmW1yo/edit?usp=sharing"",""เชียงราย!M453"")"),0)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IFERROR(__xludf.DUMMYFUNCTION("IMPORTRANGE(""https://docs.google.com/spreadsheets/d/11923uPwbBZFjjGgGUA6NLw09EwE0CqkOc4q9oUmW1yo/edit?usp=sharing"",""เชียงราย!M454"")"),0)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IFERROR(__xludf.DUMMYFUNCTION("IMPORTRANGE(""https://docs.google.com/spreadsheets/d/11923uPwbBZFjjGgGUA6NLw09EwE0CqkOc4q9oUmW1yo/edit?usp=sharing"",""เชียงราย!I455"")"),0)</f>
        <v>0</v>
      </c>
      <c r="J560" s="162">
        <f ca="1">IFERROR(__xludf.DUMMYFUNCTION("IMPORTRANGE(""https://docs.google.com/spreadsheets/d/11923uPwbBZFjjGgGUA6NLw09EwE0CqkOc4q9oUmW1yo/edit?usp=sharing"",""เชียงราย!J455"")"),0)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IFERROR(__xludf.DUMMYFUNCTION("IMPORTRANGE(""https://docs.google.com/spreadsheets/d/11923uPwbBZFjjGgGUA6NLw09EwE0CqkOc4q9oUmW1yo/edit?usp=sharing"",""เชียงราย!I456"")"),0)</f>
        <v>0</v>
      </c>
      <c r="J561" s="203">
        <f ca="1">IFERROR(__xludf.DUMMYFUNCTION("IMPORTRANGE(""https://docs.google.com/spreadsheets/d/11923uPwbBZFjjGgGUA6NLw09EwE0CqkOc4q9oUmW1yo/edit?usp=sharing"",""เชียงราย!J456"")"),0)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IFERROR(__xludf.DUMMYFUNCTION("IMPORTRANGE(""https://docs.google.com/spreadsheets/d/11923uPwbBZFjjGgGUA6NLw09EwE0CqkOc4q9oUmW1yo/edit?usp=sharing"",""เชียงราย!I459"")"),3400)</f>
        <v>3400</v>
      </c>
      <c r="J564" s="370">
        <f ca="1">IFERROR(__xludf.DUMMYFUNCTION("IMPORTRANGE(""https://docs.google.com/spreadsheets/d/11923uPwbBZFjjGgGUA6NLw09EwE0CqkOc4q9oUmW1yo/edit?usp=sharing"",""เชียงราย!J459"")"),9301)</f>
        <v>9301</v>
      </c>
      <c r="K564" s="371">
        <f ca="1">IF(I564&gt;0,J564*100/I564,0)</f>
        <v>273.55882352941177</v>
      </c>
      <c r="L564" s="372">
        <f ca="1">IFERROR(__xludf.DUMMYFUNCTION("IMPORTRANGE(""https://docs.google.com/spreadsheets/d/11923uPwbBZFjjGgGUA6NLw09EwE0CqkOc4q9oUmW1yo/edit?usp=sharing"",""เชียงราย!L459"")"),165600)</f>
        <v>165600</v>
      </c>
      <c r="M564" s="372"/>
      <c r="N564" s="372">
        <f ca="1">IFERROR(__xludf.DUMMYFUNCTION("IMPORTRANGE(""https://docs.google.com/spreadsheets/d/11923uPwbBZFjjGgGUA6NLw09EwE0CqkOc4q9oUmW1yo/edit?usp=sharing"",""เชียงราย!M459"")"),124249.94)</f>
        <v>124249.94</v>
      </c>
      <c r="O564" s="372">
        <f t="shared" ref="O564:O568" ca="1" si="122">+IF(L564&gt;0,N564*100/L564,0)</f>
        <v>75.030157004830912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IFERROR(__xludf.DUMMYFUNCTION("IMPORTRANGE(""https://docs.google.com/spreadsheets/d/11923uPwbBZFjjGgGUA6NLw09EwE0CqkOc4q9oUmW1yo/edit?usp=sharing"",""เชียงราย!L460"")"),0)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IFERROR(__xludf.DUMMYFUNCTION("IMPORTRANGE(""https://docs.google.com/spreadsheets/d/11923uPwbBZFjjGgGUA6NLw09EwE0CqkOc4q9oUmW1yo/edit?usp=sharing"",""เชียงราย!M460"")"),0)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IFERROR(__xludf.DUMMYFUNCTION("IMPORTRANGE(""https://docs.google.com/spreadsheets/d/11923uPwbBZFjjGgGUA6NLw09EwE0CqkOc4q9oUmW1yo/edit?usp=sharing"",""เชียงราย!L461"")"),165600)</f>
        <v>165600</v>
      </c>
      <c r="M566" s="165"/>
      <c r="N566" s="168">
        <f ca="1">IFERROR(__xludf.DUMMYFUNCTION("IMPORTRANGE(""https://docs.google.com/spreadsheets/d/11923uPwbBZFjjGgGUA6NLw09EwE0CqkOc4q9oUmW1yo/edit?usp=sharing"",""เชียงราย!M461"")"),124249.94)</f>
        <v>124249.94</v>
      </c>
      <c r="O566" s="168">
        <f t="shared" ca="1" si="122"/>
        <v>75.030157004830912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IFERROR(__xludf.DUMMYFUNCTION("IMPORTRANGE(""https://docs.google.com/spreadsheets/d/11923uPwbBZFjjGgGUA6NLw09EwE0CqkOc4q9oUmW1yo/edit?usp=sharing"",""เชียงราย!L462"")"),0)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IFERROR(__xludf.DUMMYFUNCTION("IMPORTRANGE(""https://docs.google.com/spreadsheets/d/11923uPwbBZFjjGgGUA6NLw09EwE0CqkOc4q9oUmW1yo/edit?usp=sharing"",""เชียงราย!M462"")"),0)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IFERROR(__xludf.DUMMYFUNCTION("IMPORTRANGE(""https://docs.google.com/spreadsheets/d/11923uPwbBZFjjGgGUA6NLw09EwE0CqkOc4q9oUmW1yo/edit?usp=sharing"",""เชียงราย!L463"")"),165600)</f>
        <v>165600</v>
      </c>
      <c r="M568" s="168"/>
      <c r="N568" s="168">
        <f ca="1">IFERROR(__xludf.DUMMYFUNCTION("IMPORTRANGE(""https://docs.google.com/spreadsheets/d/11923uPwbBZFjjGgGUA6NLw09EwE0CqkOc4q9oUmW1yo/edit?usp=sharing"",""เชียงราย!M463"")"),124249.94)</f>
        <v>124249.94</v>
      </c>
      <c r="O568" s="168">
        <f t="shared" ca="1" si="122"/>
        <v>75.030157004830912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IFERROR(__xludf.DUMMYFUNCTION("IMPORTRANGE(""https://docs.google.com/spreadsheets/d/11923uPwbBZFjjGgGUA6NLw09EwE0CqkOc4q9oUmW1yo/edit?usp=sharing"",""เชียงราย!M464"")"),0)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IFERROR(__xludf.DUMMYFUNCTION("IMPORTRANGE(""https://docs.google.com/spreadsheets/d/11923uPwbBZFjjGgGUA6NLw09EwE0CqkOc4q9oUmW1yo/edit?usp=sharing"",""เชียงราย!M465"")"),0)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IFERROR(__xludf.DUMMYFUNCTION("IMPORTRANGE(""https://docs.google.com/spreadsheets/d/11923uPwbBZFjjGgGUA6NLw09EwE0CqkOc4q9oUmW1yo/edit?usp=sharing"",""เชียงราย!M466"")"),79499.94)</f>
        <v>79499.94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IFERROR(__xludf.DUMMYFUNCTION("IMPORTRANGE(""https://docs.google.com/spreadsheets/d/11923uPwbBZFjjGgGUA6NLw09EwE0CqkOc4q9oUmW1yo/edit?usp=sharing"",""เชียงราย!M467"")"),44750)</f>
        <v>44750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IFERROR(__xludf.DUMMYFUNCTION("IMPORTRANGE(""https://docs.google.com/spreadsheets/d/11923uPwbBZFjjGgGUA6NLw09EwE0CqkOc4q9oUmW1yo/edit?usp=sharing"",""เชียงราย!I468"")"),3400)</f>
        <v>3400</v>
      </c>
      <c r="J573" s="420">
        <f ca="1">IFERROR(__xludf.DUMMYFUNCTION("IMPORTRANGE(""https://docs.google.com/spreadsheets/d/11923uPwbBZFjjGgGUA6NLw09EwE0CqkOc4q9oUmW1yo/edit?usp=sharing"",""เชียงราย!J468"")"),9301)</f>
        <v>9301</v>
      </c>
      <c r="K573" s="201">
        <f ca="1">IF(I573&gt;0,J573*100/I573,0)</f>
        <v>273.55882352941177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IFERROR(__xludf.DUMMYFUNCTION("IMPORTRANGE(""https://docs.google.com/spreadsheets/d/11923uPwbBZFjjGgGUA6NLw09EwE0CqkOc4q9oUmW1yo/edit?usp=sharing"",""เชียงราย!I470"")"),0)</f>
        <v>0</v>
      </c>
      <c r="J575" s="197">
        <f ca="1">IFERROR(__xludf.DUMMYFUNCTION("IMPORTRANGE(""https://docs.google.com/spreadsheets/d/11923uPwbBZFjjGgGUA6NLw09EwE0CqkOc4q9oUmW1yo/edit?usp=sharing"",""เชียงราย!J470"")"),9)</f>
        <v>9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IFERROR(__xludf.DUMMYFUNCTION("IMPORTRANGE(""https://docs.google.com/spreadsheets/d/11923uPwbBZFjjGgGUA6NLw09EwE0CqkOc4q9oUmW1yo/edit?usp=sharing"",""เชียงราย!I471"")"),0)</f>
        <v>0</v>
      </c>
      <c r="J576" s="197">
        <f ca="1">IFERROR(__xludf.DUMMYFUNCTION("IMPORTRANGE(""https://docs.google.com/spreadsheets/d/11923uPwbBZFjjGgGUA6NLw09EwE0CqkOc4q9oUmW1yo/edit?usp=sharing"",""เชียงราย!J471"")"),314)</f>
        <v>314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IFERROR(__xludf.DUMMYFUNCTION("IMPORTRANGE(""https://docs.google.com/spreadsheets/d/11923uPwbBZFjjGgGUA6NLw09EwE0CqkOc4q9oUmW1yo/edit?usp=sharing"",""เชียงราย!I472"")"),0)</f>
        <v>0</v>
      </c>
      <c r="J577" s="188">
        <f ca="1">IFERROR(__xludf.DUMMYFUNCTION("IMPORTRANGE(""https://docs.google.com/spreadsheets/d/11923uPwbBZFjjGgGUA6NLw09EwE0CqkOc4q9oUmW1yo/edit?usp=sharing"",""เชียงราย!J472"")"),8981)</f>
        <v>8981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IFERROR(__xludf.DUMMYFUNCTION("IMPORTRANGE(""https://docs.google.com/spreadsheets/d/11923uPwbBZFjjGgGUA6NLw09EwE0CqkOc4q9oUmW1yo/edit?usp=sharing"",""เชียงราย!I473"")"),0)</f>
        <v>0</v>
      </c>
      <c r="J578" s="197">
        <f ca="1">IFERROR(__xludf.DUMMYFUNCTION("IMPORTRANGE(""https://docs.google.com/spreadsheets/d/11923uPwbBZFjjGgGUA6NLw09EwE0CqkOc4q9oUmW1yo/edit?usp=sharing"",""เชียงราย!J473"")"),1)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IFERROR(__xludf.DUMMYFUNCTION("IMPORTRANGE(""https://docs.google.com/spreadsheets/d/11923uPwbBZFjjGgGUA6NLw09EwE0CqkOc4q9oUmW1yo/edit?usp=sharing"",""เชียงราย!I474"")"),0)</f>
        <v>0</v>
      </c>
      <c r="J579" s="197">
        <f ca="1">IFERROR(__xludf.DUMMYFUNCTION("IMPORTRANGE(""https://docs.google.com/spreadsheets/d/11923uPwbBZFjjGgGUA6NLw09EwE0CqkOc4q9oUmW1yo/edit?usp=sharing"",""เชียงราย!J474"")"),5)</f>
        <v>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IFERROR(__xludf.DUMMYFUNCTION("IMPORTRANGE(""https://docs.google.com/spreadsheets/d/11923uPwbBZFjjGgGUA6NLw09EwE0CqkOc4q9oUmW1yo/edit?usp=sharing"",""เชียงราย!I475"")"),84)</f>
        <v>84</v>
      </c>
      <c r="J580" s="370">
        <f ca="1">IFERROR(__xludf.DUMMYFUNCTION("IMPORTRANGE(""https://docs.google.com/spreadsheets/d/11923uPwbBZFjjGgGUA6NLw09EwE0CqkOc4q9oUmW1yo/edit?usp=sharing"",""เชียงราย!J475"")"),4)</f>
        <v>4</v>
      </c>
      <c r="K580" s="371">
        <f ca="1">IF(I580&gt;0,J580*100/I580,0)</f>
        <v>4.7619047619047619</v>
      </c>
      <c r="L580" s="372">
        <f ca="1">IFERROR(__xludf.DUMMYFUNCTION("IMPORTRANGE(""https://docs.google.com/spreadsheets/d/11923uPwbBZFjjGgGUA6NLw09EwE0CqkOc4q9oUmW1yo/edit?usp=sharing"",""เชียงราย!L475"")"),359076)</f>
        <v>359076</v>
      </c>
      <c r="M580" s="372"/>
      <c r="N580" s="372">
        <f ca="1">IFERROR(__xludf.DUMMYFUNCTION("IMPORTRANGE(""https://docs.google.com/spreadsheets/d/11923uPwbBZFjjGgGUA6NLw09EwE0CqkOc4q9oUmW1yo/edit?usp=sharing"",""เชียงราย!M475"")"),157483.65)</f>
        <v>157483.65</v>
      </c>
      <c r="O580" s="372">
        <f t="shared" ref="O580:O584" ca="1" si="124">+IF(L580&gt;0,N580*100/L580,0)</f>
        <v>43.858027269992981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IFERROR(__xludf.DUMMYFUNCTION("IMPORTRANGE(""https://docs.google.com/spreadsheets/d/11923uPwbBZFjjGgGUA6NLw09EwE0CqkOc4q9oUmW1yo/edit?usp=sharing"",""เชียงราย!L476"")"),0)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IFERROR(__xludf.DUMMYFUNCTION("IMPORTRANGE(""https://docs.google.com/spreadsheets/d/11923uPwbBZFjjGgGUA6NLw09EwE0CqkOc4q9oUmW1yo/edit?usp=sharing"",""เชียงราย!M476"")"),0)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IFERROR(__xludf.DUMMYFUNCTION("IMPORTRANGE(""https://docs.google.com/spreadsheets/d/11923uPwbBZFjjGgGUA6NLw09EwE0CqkOc4q9oUmW1yo/edit?usp=sharing"",""เชียงราย!L477"")"),359076)</f>
        <v>359076</v>
      </c>
      <c r="M582" s="165"/>
      <c r="N582" s="168">
        <f ca="1">IFERROR(__xludf.DUMMYFUNCTION("IMPORTRANGE(""https://docs.google.com/spreadsheets/d/11923uPwbBZFjjGgGUA6NLw09EwE0CqkOc4q9oUmW1yo/edit?usp=sharing"",""เชียงราย!M477"")"),157483.65)</f>
        <v>157483.65</v>
      </c>
      <c r="O582" s="168">
        <f t="shared" ca="1" si="124"/>
        <v>43.858027269992981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IFERROR(__xludf.DUMMYFUNCTION("IMPORTRANGE(""https://docs.google.com/spreadsheets/d/11923uPwbBZFjjGgGUA6NLw09EwE0CqkOc4q9oUmW1yo/edit?usp=sharing"",""เชียงราย!L478"")"),0)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IFERROR(__xludf.DUMMYFUNCTION("IMPORTRANGE(""https://docs.google.com/spreadsheets/d/11923uPwbBZFjjGgGUA6NLw09EwE0CqkOc4q9oUmW1yo/edit?usp=sharing"",""เชียงราย!M478"")"),0)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IFERROR(__xludf.DUMMYFUNCTION("IMPORTRANGE(""https://docs.google.com/spreadsheets/d/11923uPwbBZFjjGgGUA6NLw09EwE0CqkOc4q9oUmW1yo/edit?usp=sharing"",""เชียงราย!L479"")"),359076)</f>
        <v>359076</v>
      </c>
      <c r="M584" s="168"/>
      <c r="N584" s="168">
        <f ca="1">IFERROR(__xludf.DUMMYFUNCTION("IMPORTRANGE(""https://docs.google.com/spreadsheets/d/11923uPwbBZFjjGgGUA6NLw09EwE0CqkOc4q9oUmW1yo/edit?usp=sharing"",""เชียงราย!M479"")"),157483.65)</f>
        <v>157483.65</v>
      </c>
      <c r="O584" s="168">
        <f t="shared" ca="1" si="124"/>
        <v>43.858027269992981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IFERROR(__xludf.DUMMYFUNCTION("IMPORTRANGE(""https://docs.google.com/spreadsheets/d/11923uPwbBZFjjGgGUA6NLw09EwE0CqkOc4q9oUmW1yo/edit?usp=sharing"",""เชียงราย!M480"")"),0)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IFERROR(__xludf.DUMMYFUNCTION("IMPORTRANGE(""https://docs.google.com/spreadsheets/d/11923uPwbBZFjjGgGUA6NLw09EwE0CqkOc4q9oUmW1yo/edit?usp=sharing"",""เชียงราย!M481"")"),0)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IFERROR(__xludf.DUMMYFUNCTION("IMPORTRANGE(""https://docs.google.com/spreadsheets/d/11923uPwbBZFjjGgGUA6NLw09EwE0CqkOc4q9oUmW1yo/edit?usp=sharing"",""เชียงราย!M482"")"),74416.65)</f>
        <v>74416.649999999994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IFERROR(__xludf.DUMMYFUNCTION("IMPORTRANGE(""https://docs.google.com/spreadsheets/d/11923uPwbBZFjjGgGUA6NLw09EwE0CqkOc4q9oUmW1yo/edit?usp=sharing"",""เชียงราย!M483"")"),83067)</f>
        <v>83067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IFERROR(__xludf.DUMMYFUNCTION("IMPORTRANGE(""https://docs.google.com/spreadsheets/d/11923uPwbBZFjjGgGUA6NLw09EwE0CqkOc4q9oUmW1yo/edit?usp=sharing"",""เชียงราย!I484"")"),84)</f>
        <v>84</v>
      </c>
      <c r="J589" s="187">
        <f ca="1">IFERROR(__xludf.DUMMYFUNCTION("IMPORTRANGE(""https://docs.google.com/spreadsheets/d/11923uPwbBZFjjGgGUA6NLw09EwE0CqkOc4q9oUmW1yo/edit?usp=sharing"",""เชียงราย!J484"")"),106)</f>
        <v>106</v>
      </c>
      <c r="K589" s="163">
        <f t="shared" ref="K589:K596" ca="1" si="125">IF(I589&gt;0,J589*100/I589,0)</f>
        <v>126.19047619047619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IFERROR(__xludf.DUMMYFUNCTION("IMPORTRANGE(""https://docs.google.com/spreadsheets/d/11923uPwbBZFjjGgGUA6NLw09EwE0CqkOc4q9oUmW1yo/edit?usp=sharing"",""เชียงราย!I485"")"),0)</f>
        <v>0</v>
      </c>
      <c r="J590" s="187">
        <f ca="1">IFERROR(__xludf.DUMMYFUNCTION("IMPORTRANGE(""https://docs.google.com/spreadsheets/d/11923uPwbBZFjjGgGUA6NLw09EwE0CqkOc4q9oUmW1yo/edit?usp=sharing"",""เชียงราย!J485"")"),61.91)</f>
        <v>61.91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IFERROR(__xludf.DUMMYFUNCTION("IMPORTRANGE(""https://docs.google.com/spreadsheets/d/11923uPwbBZFjjGgGUA6NLw09EwE0CqkOc4q9oUmW1yo/edit?usp=sharing"",""เชียงราย!I486"")"),84)</f>
        <v>84</v>
      </c>
      <c r="J591" s="187">
        <f ca="1">IFERROR(__xludf.DUMMYFUNCTION("IMPORTRANGE(""https://docs.google.com/spreadsheets/d/11923uPwbBZFjjGgGUA6NLw09EwE0CqkOc4q9oUmW1yo/edit?usp=sharing"",""เชียงราย!J486"")"),38)</f>
        <v>38</v>
      </c>
      <c r="K591" s="163">
        <f t="shared" ca="1" si="125"/>
        <v>45.238095238095241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IFERROR(__xludf.DUMMYFUNCTION("IMPORTRANGE(""https://docs.google.com/spreadsheets/d/11923uPwbBZFjjGgGUA6NLw09EwE0CqkOc4q9oUmW1yo/edit?usp=sharing"",""เชียงราย!I487"")"),0)</f>
        <v>0</v>
      </c>
      <c r="J592" s="187">
        <f ca="1">IFERROR(__xludf.DUMMYFUNCTION("IMPORTRANGE(""https://docs.google.com/spreadsheets/d/11923uPwbBZFjjGgGUA6NLw09EwE0CqkOc4q9oUmW1yo/edit?usp=sharing"",""เชียงราย!J487"")"),20.84)</f>
        <v>20.84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IFERROR(__xludf.DUMMYFUNCTION("IMPORTRANGE(""https://docs.google.com/spreadsheets/d/11923uPwbBZFjjGgGUA6NLw09EwE0CqkOc4q9oUmW1yo/edit?usp=sharing"",""เชียงราย!I488"")"),84)</f>
        <v>84</v>
      </c>
      <c r="J593" s="187">
        <f ca="1">IFERROR(__xludf.DUMMYFUNCTION("IMPORTRANGE(""https://docs.google.com/spreadsheets/d/11923uPwbBZFjjGgGUA6NLw09EwE0CqkOc4q9oUmW1yo/edit?usp=sharing"",""เชียงราย!J488"")"),2)</f>
        <v>2</v>
      </c>
      <c r="K593" s="163">
        <f t="shared" ca="1" si="125"/>
        <v>2.3809523809523809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IFERROR(__xludf.DUMMYFUNCTION("IMPORTRANGE(""https://docs.google.com/spreadsheets/d/11923uPwbBZFjjGgGUA6NLw09EwE0CqkOc4q9oUmW1yo/edit?usp=sharing"",""เชียงราย!I489"")"),0)</f>
        <v>0</v>
      </c>
      <c r="J594" s="187">
        <f ca="1">IFERROR(__xludf.DUMMYFUNCTION("IMPORTRANGE(""https://docs.google.com/spreadsheets/d/11923uPwbBZFjjGgGUA6NLw09EwE0CqkOc4q9oUmW1yo/edit?usp=sharing"",""เชียงราย!J489"")"),1.28)</f>
        <v>1.28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IFERROR(__xludf.DUMMYFUNCTION("IMPORTRANGE(""https://docs.google.com/spreadsheets/d/11923uPwbBZFjjGgGUA6NLw09EwE0CqkOc4q9oUmW1yo/edit?usp=sharing"",""เชียงราย!I490"")"),84)</f>
        <v>84</v>
      </c>
      <c r="J595" s="187">
        <f ca="1">IFERROR(__xludf.DUMMYFUNCTION("IMPORTRANGE(""https://docs.google.com/spreadsheets/d/11923uPwbBZFjjGgGUA6NLw09EwE0CqkOc4q9oUmW1yo/edit?usp=sharing"",""เชียงราย!J490"")"),4)</f>
        <v>4</v>
      </c>
      <c r="K595" s="163">
        <f t="shared" ca="1" si="125"/>
        <v>4.7619047619047619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IFERROR(__xludf.DUMMYFUNCTION("IMPORTRANGE(""https://docs.google.com/spreadsheets/d/11923uPwbBZFjjGgGUA6NLw09EwE0CqkOc4q9oUmW1yo/edit?usp=sharing"",""เชียงราย!I491"")"),0)</f>
        <v>0</v>
      </c>
      <c r="J596" s="241">
        <f ca="1">IFERROR(__xludf.DUMMYFUNCTION("IMPORTRANGE(""https://docs.google.com/spreadsheets/d/11923uPwbBZFjjGgGUA6NLw09EwE0CqkOc4q9oUmW1yo/edit?usp=sharing"",""เชียงราย!J491"")"),2.04)</f>
        <v>2.04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IFERROR(__xludf.DUMMYFUNCTION("IMPORTRANGE(""https://docs.google.com/spreadsheets/d/11923uPwbBZFjjGgGUA6NLw09EwE0CqkOc4q9oUmW1yo/edit?usp=sharing"",""เชียงราย!I492"")"),220)</f>
        <v>220</v>
      </c>
      <c r="J597" s="488">
        <f ca="1">IFERROR(__xludf.DUMMYFUNCTION("IMPORTRANGE(""https://docs.google.com/spreadsheets/d/11923uPwbBZFjjGgGUA6NLw09EwE0CqkOc4q9oUmW1yo/edit?usp=sharing"",""เชียงราย!J492"")"),0)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IFERROR(__xludf.DUMMYFUNCTION("IMPORTRANGE(""https://docs.google.com/spreadsheets/d/11923uPwbBZFjjGgGUA6NLw09EwE0CqkOc4q9oUmW1yo/edit?usp=sharing"",""เชียงราย!L492"")"),15500)</f>
        <v>15500</v>
      </c>
      <c r="M597" s="411"/>
      <c r="N597" s="411">
        <f ca="1">IFERROR(__xludf.DUMMYFUNCTION("IMPORTRANGE(""https://docs.google.com/spreadsheets/d/11923uPwbBZFjjGgGUA6NLw09EwE0CqkOc4q9oUmW1yo/edit?usp=sharing"",""เชียงราย!M492"")"),1800)</f>
        <v>1800</v>
      </c>
      <c r="O597" s="411">
        <f t="shared" ref="O597:O601" ca="1" si="126">+IF(L597&gt;0,N597*100/L597,0)</f>
        <v>11.612903225806452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IFERROR(__xludf.DUMMYFUNCTION("IMPORTRANGE(""https://docs.google.com/spreadsheets/d/11923uPwbBZFjjGgGUA6NLw09EwE0CqkOc4q9oUmW1yo/edit?usp=sharing"",""เชียงราย!L493"")"),0)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IFERROR(__xludf.DUMMYFUNCTION("IMPORTRANGE(""https://docs.google.com/spreadsheets/d/11923uPwbBZFjjGgGUA6NLw09EwE0CqkOc4q9oUmW1yo/edit?usp=sharing"",""เชียงราย!M493"")"),0)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IFERROR(__xludf.DUMMYFUNCTION("IMPORTRANGE(""https://docs.google.com/spreadsheets/d/11923uPwbBZFjjGgGUA6NLw09EwE0CqkOc4q9oUmW1yo/edit?usp=sharing"",""เชียงราย!L494"")"),15500)</f>
        <v>15500</v>
      </c>
      <c r="M599" s="165"/>
      <c r="N599" s="168">
        <f ca="1">IFERROR(__xludf.DUMMYFUNCTION("IMPORTRANGE(""https://docs.google.com/spreadsheets/d/11923uPwbBZFjjGgGUA6NLw09EwE0CqkOc4q9oUmW1yo/edit?usp=sharing"",""เชียงราย!M494"")"),1800)</f>
        <v>1800</v>
      </c>
      <c r="O599" s="168">
        <f t="shared" ca="1" si="126"/>
        <v>11.612903225806452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IFERROR(__xludf.DUMMYFUNCTION("IMPORTRANGE(""https://docs.google.com/spreadsheets/d/11923uPwbBZFjjGgGUA6NLw09EwE0CqkOc4q9oUmW1yo/edit?usp=sharing"",""เชียงราย!L495"")"),0)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IFERROR(__xludf.DUMMYFUNCTION("IMPORTRANGE(""https://docs.google.com/spreadsheets/d/11923uPwbBZFjjGgGUA6NLw09EwE0CqkOc4q9oUmW1yo/edit?usp=sharing"",""เชียงราย!M495"")"),0)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IFERROR(__xludf.DUMMYFUNCTION("IMPORTRANGE(""https://docs.google.com/spreadsheets/d/11923uPwbBZFjjGgGUA6NLw09EwE0CqkOc4q9oUmW1yo/edit?usp=sharing"",""เชียงราย!L496"")"),15500)</f>
        <v>15500</v>
      </c>
      <c r="M601" s="168"/>
      <c r="N601" s="168">
        <f ca="1">IFERROR(__xludf.DUMMYFUNCTION("IMPORTRANGE(""https://docs.google.com/spreadsheets/d/11923uPwbBZFjjGgGUA6NLw09EwE0CqkOc4q9oUmW1yo/edit?usp=sharing"",""เชียงราย!M496"")"),1800)</f>
        <v>1800</v>
      </c>
      <c r="O601" s="168">
        <f t="shared" ca="1" si="126"/>
        <v>11.612903225806452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IFERROR(__xludf.DUMMYFUNCTION("IMPORTRANGE(""https://docs.google.com/spreadsheets/d/11923uPwbBZFjjGgGUA6NLw09EwE0CqkOc4q9oUmW1yo/edit?usp=sharing"",""เชียงราย!M497"")"),0)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IFERROR(__xludf.DUMMYFUNCTION("IMPORTRANGE(""https://docs.google.com/spreadsheets/d/11923uPwbBZFjjGgGUA6NLw09EwE0CqkOc4q9oUmW1yo/edit?usp=sharing"",""เชียงราย!M498"")"),0)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IFERROR(__xludf.DUMMYFUNCTION("IMPORTRANGE(""https://docs.google.com/spreadsheets/d/11923uPwbBZFjjGgGUA6NLw09EwE0CqkOc4q9oUmW1yo/edit?usp=sharing"",""เชียงราย!M499"")"),0)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IFERROR(__xludf.DUMMYFUNCTION("IMPORTRANGE(""https://docs.google.com/spreadsheets/d/11923uPwbBZFjjGgGUA6NLw09EwE0CqkOc4q9oUmW1yo/edit?usp=sharing"",""เชียงราย!M500"")"),1800)</f>
        <v>1800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IFERROR(__xludf.DUMMYFUNCTION("IMPORTRANGE(""https://docs.google.com/spreadsheets/d/11923uPwbBZFjjGgGUA6NLw09EwE0CqkOc4q9oUmW1yo/edit?usp=sharing"",""เชียงราย!J502"")"),0)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IFERROR(__xludf.DUMMYFUNCTION("IMPORTRANGE(""https://docs.google.com/spreadsheets/d/11923uPwbBZFjjGgGUA6NLw09EwE0CqkOc4q9oUmW1yo/edit?usp=sharing"",""เชียงราย!J503"")"),1)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IFERROR(__xludf.DUMMYFUNCTION("IMPORTRANGE(""https://docs.google.com/spreadsheets/d/11923uPwbBZFjjGgGUA6NLw09EwE0CqkOc4q9oUmW1yo/edit?usp=sharing"",""เชียงราย!J166"")"),0)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IFERROR(__xludf.DUMMYFUNCTION("IMPORTRANGE(""https://docs.google.com/spreadsheets/d/11923uPwbBZFjjGgGUA6NLw09EwE0CqkOc4q9oUmW1yo/edit?usp=sharing"",""เชียงราย!J166"")"),0)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IFERROR(__xludf.DUMMYFUNCTION("IMPORTRANGE(""https://docs.google.com/spreadsheets/d/11923uPwbBZFjjGgGUA6NLw09EwE0CqkOc4q9oUmW1yo/edit?usp=sharing"",""เชียงราย!I506"")"),220)</f>
        <v>220</v>
      </c>
      <c r="J611" s="162">
        <f ca="1">IFERROR(__xludf.DUMMYFUNCTION("IMPORTRANGE(""https://docs.google.com/spreadsheets/d/11923uPwbBZFjjGgGUA6NLw09EwE0CqkOc4q9oUmW1yo/edit?usp=sharing"",""เชียงราย!J506"")"),0)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IFERROR(__xludf.DUMMYFUNCTION("IMPORTRANGE(""https://docs.google.com/spreadsheets/d/11923uPwbBZFjjGgGUA6NLw09EwE0CqkOc4q9oUmW1yo/edit?usp=sharing"",""เชียงราย!I507"")"),0)</f>
        <v>0</v>
      </c>
      <c r="J612" s="197">
        <f ca="1">IFERROR(__xludf.DUMMYFUNCTION("IMPORTRANGE(""https://docs.google.com/spreadsheets/d/11923uPwbBZFjjGgGUA6NLw09EwE0CqkOc4q9oUmW1yo/edit?usp=sharing"",""เชียงราย!J507"")"),876)</f>
        <v>876</v>
      </c>
      <c r="K612" s="163">
        <f t="shared" ca="1" si="127"/>
        <v>398.18181818181819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IFERROR(__xludf.DUMMYFUNCTION("IMPORTRANGE(""https://docs.google.com/spreadsheets/d/11923uPwbBZFjjGgGUA6NLw09EwE0CqkOc4q9oUmW1yo/edit?usp=sharing"",""เชียงราย!I508"")"),0)</f>
        <v>0</v>
      </c>
      <c r="J613" s="197">
        <f ca="1">IFERROR(__xludf.DUMMYFUNCTION("IMPORTRANGE(""https://docs.google.com/spreadsheets/d/11923uPwbBZFjjGgGUA6NLw09EwE0CqkOc4q9oUmW1yo/edit?usp=sharing"",""เชียงราย!J508"")"),876)</f>
        <v>876</v>
      </c>
      <c r="K613" s="163">
        <f t="shared" ca="1" si="127"/>
        <v>398.18181818181819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IFERROR(__xludf.DUMMYFUNCTION("IMPORTRANGE(""https://docs.google.com/spreadsheets/d/11923uPwbBZFjjGgGUA6NLw09EwE0CqkOc4q9oUmW1yo/edit?usp=sharing"",""เชียงราย!I509"")"),0)</f>
        <v>0</v>
      </c>
      <c r="J614" s="197">
        <f ca="1">IFERROR(__xludf.DUMMYFUNCTION("IMPORTRANGE(""https://docs.google.com/spreadsheets/d/11923uPwbBZFjjGgGUA6NLw09EwE0CqkOc4q9oUmW1yo/edit?usp=sharing"",""เชียงราย!J509"")"),0)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IFERROR(__xludf.DUMMYFUNCTION("IMPORTRANGE(""https://docs.google.com/spreadsheets/d/11923uPwbBZFjjGgGUA6NLw09EwE0CqkOc4q9oUmW1yo/edit?usp=sharing"",""เชียงราย!I510"")"),0)</f>
        <v>0</v>
      </c>
      <c r="J615" s="197">
        <f ca="1">IFERROR(__xludf.DUMMYFUNCTION("IMPORTRANGE(""https://docs.google.com/spreadsheets/d/11923uPwbBZFjjGgGUA6NLw09EwE0CqkOc4q9oUmW1yo/edit?usp=sharing"",""เชียงราย!J510"")"),0)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IFERROR(__xludf.DUMMYFUNCTION("IMPORTRANGE(""https://docs.google.com/spreadsheets/d/11923uPwbBZFjjGgGUA6NLw09EwE0CqkOc4q9oUmW1yo/edit?usp=sharing"",""เชียงราย!I511"")"),0)</f>
        <v>0</v>
      </c>
      <c r="J616" s="197">
        <f ca="1">IFERROR(__xludf.DUMMYFUNCTION("IMPORTRANGE(""https://docs.google.com/spreadsheets/d/11923uPwbBZFjjGgGUA6NLw09EwE0CqkOc4q9oUmW1yo/edit?usp=sharing"",""เชียงราย!J511"")"),0)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IFERROR(__xludf.DUMMYFUNCTION("IMPORTRANGE(""https://docs.google.com/spreadsheets/d/11923uPwbBZFjjGgGUA6NLw09EwE0CqkOc4q9oUmW1yo/edit?usp=sharing"",""เชียงราย!I512"")"),0)</f>
        <v>0</v>
      </c>
      <c r="J617" s="187">
        <f ca="1">IFERROR(__xludf.DUMMYFUNCTION("IMPORTRANGE(""https://docs.google.com/spreadsheets/d/11923uPwbBZFjjGgGUA6NLw09EwE0CqkOc4q9oUmW1yo/edit?usp=sharing"",""เชียงราย!J512"")"),0)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IFERROR(__xludf.DUMMYFUNCTION("IMPORTRANGE(""https://docs.google.com/spreadsheets/d/11923uPwbBZFjjGgGUA6NLw09EwE0CqkOc4q9oUmW1yo/edit?usp=sharing"",""เชียงราย!I513"")"),0)</f>
        <v>0</v>
      </c>
      <c r="J618" s="188">
        <f ca="1">IFERROR(__xludf.DUMMYFUNCTION("IMPORTRANGE(""https://docs.google.com/spreadsheets/d/11923uPwbBZFjjGgGUA6NLw09EwE0CqkOc4q9oUmW1yo/edit?usp=sharing"",""เชียงราย!J513"")"),0)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IFERROR(__xludf.DUMMYFUNCTION("IMPORTRANGE(""https://docs.google.com/spreadsheets/d/11923uPwbBZFjjGgGUA6NLw09EwE0CqkOc4q9oUmW1yo/edit?usp=sharing"",""เชียงราย!I514"")"),0)</f>
        <v>0</v>
      </c>
      <c r="J619" s="188">
        <f ca="1">IFERROR(__xludf.DUMMYFUNCTION("IMPORTRANGE(""https://docs.google.com/spreadsheets/d/11923uPwbBZFjjGgGUA6NLw09EwE0CqkOc4q9oUmW1yo/edit?usp=sharing"",""เชียงราย!J514"")"),0)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IFERROR(__xludf.DUMMYFUNCTION("IMPORTRANGE(""https://docs.google.com/spreadsheets/d/11923uPwbBZFjjGgGUA6NLw09EwE0CqkOc4q9oUmW1yo/edit?usp=sharing"",""เชียงราย!I515"")"),2288)</f>
        <v>2288</v>
      </c>
      <c r="J620" s="202">
        <f ca="1">IFERROR(__xludf.DUMMYFUNCTION("IMPORTRANGE(""https://docs.google.com/spreadsheets/d/11923uPwbBZFjjGgGUA6NLw09EwE0CqkOc4q9oUmW1yo/edit?usp=sharing"",""เชียงราย!J515"")"),0)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IFERROR(__xludf.DUMMYFUNCTION("IMPORTRANGE(""https://docs.google.com/spreadsheets/d/11923uPwbBZFjjGgGUA6NLw09EwE0CqkOc4q9oUmW1yo/edit?usp=sharing"",""เชียงราย!I516"")"),0)</f>
        <v>0</v>
      </c>
      <c r="J621" s="202">
        <f ca="1">IFERROR(__xludf.DUMMYFUNCTION("IMPORTRANGE(""https://docs.google.com/spreadsheets/d/11923uPwbBZFjjGgGUA6NLw09EwE0CqkOc4q9oUmW1yo/edit?usp=sharing"",""เชียงราย!J516"")"),0)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IFERROR(__xludf.DUMMYFUNCTION("IMPORTRANGE(""https://docs.google.com/spreadsheets/d/11923uPwbBZFjjGgGUA6NLw09EwE0CqkOc4q9oUmW1yo/edit?usp=sharing"",""เชียงราย!I517"")"),0)</f>
        <v>0</v>
      </c>
      <c r="J622" s="188">
        <f ca="1">IFERROR(__xludf.DUMMYFUNCTION("IMPORTRANGE(""https://docs.google.com/spreadsheets/d/11923uPwbBZFjjGgGUA6NLw09EwE0CqkOc4q9oUmW1yo/edit?usp=sharing"",""เชียงราย!J517"")"),0)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IFERROR(__xludf.DUMMYFUNCTION("IMPORTRANGE(""https://docs.google.com/spreadsheets/d/11923uPwbBZFjjGgGUA6NLw09EwE0CqkOc4q9oUmW1yo/edit?usp=sharing"",""เชียงราย!I518"")"),0)</f>
        <v>0</v>
      </c>
      <c r="J623" s="188">
        <f ca="1">IFERROR(__xludf.DUMMYFUNCTION("IMPORTRANGE(""https://docs.google.com/spreadsheets/d/11923uPwbBZFjjGgGUA6NLw09EwE0CqkOc4q9oUmW1yo/edit?usp=sharing"",""เชียงราย!J518"")"),0)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IFERROR(__xludf.DUMMYFUNCTION("IMPORTRANGE(""https://docs.google.com/spreadsheets/d/11923uPwbBZFjjGgGUA6NLw09EwE0CqkOc4q9oUmW1yo/edit?usp=sharing"",""เชียงราย!I519"")"),0)</f>
        <v>0</v>
      </c>
      <c r="J624" s="187">
        <f ca="1">IFERROR(__xludf.DUMMYFUNCTION("IMPORTRANGE(""https://docs.google.com/spreadsheets/d/11923uPwbBZFjjGgGUA6NLw09EwE0CqkOc4q9oUmW1yo/edit?usp=sharing"",""เชียงราย!J519"")"),0)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IFERROR(__xludf.DUMMYFUNCTION("IMPORTRANGE(""https://docs.google.com/spreadsheets/d/11923uPwbBZFjjGgGUA6NLw09EwE0CqkOc4q9oUmW1yo/edit?usp=sharing"",""เชียงราย!I520"")"),0)</f>
        <v>0</v>
      </c>
      <c r="J625" s="188">
        <f ca="1">IFERROR(__xludf.DUMMYFUNCTION("IMPORTRANGE(""https://docs.google.com/spreadsheets/d/11923uPwbBZFjjGgGUA6NLw09EwE0CqkOc4q9oUmW1yo/edit?usp=sharing"",""เชียงราย!J520"")"),0)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IFERROR(__xludf.DUMMYFUNCTION("IMPORTRANGE(""https://docs.google.com/spreadsheets/d/11923uPwbBZFjjGgGUA6NLw09EwE0CqkOc4q9oUmW1yo/edit?usp=sharing"",""เชียงราย!I521"")"),0)</f>
        <v>0</v>
      </c>
      <c r="J626" s="188">
        <f ca="1">IFERROR(__xludf.DUMMYFUNCTION("IMPORTRANGE(""https://docs.google.com/spreadsheets/d/11923uPwbBZFjjGgGUA6NLw09EwE0CqkOc4q9oUmW1yo/edit?usp=sharing"",""เชียงราย!J521"")"),0)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IFERROR(__xludf.DUMMYFUNCTION("IMPORTRANGE(""https://docs.google.com/spreadsheets/d/11923uPwbBZFjjGgGUA6NLw09EwE0CqkOc4q9oUmW1yo/edit?usp=sharing"",""เชียงราย!I523"")"),7774600)</f>
        <v>7774600</v>
      </c>
      <c r="J628" s="341">
        <f ca="1">IFERROR(__xludf.DUMMYFUNCTION("IMPORTRANGE(""https://docs.google.com/spreadsheets/d/11923uPwbBZFjjGgGUA6NLw09EwE0CqkOc4q9oUmW1yo/edit?usp=sharing"",""เชียงราย!J523"")"),3723375.6)</f>
        <v>3723375.6</v>
      </c>
      <c r="K628" s="342">
        <f t="shared" ref="K628:K635" ca="1" si="129">IF(I628&gt;0,J628*100/I628,0)</f>
        <v>47.891539114552515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IFERROR(__xludf.DUMMYFUNCTION("IMPORTRANGE(""https://docs.google.com/spreadsheets/d/11923uPwbBZFjjGgGUA6NLw09EwE0CqkOc4q9oUmW1yo/edit?usp=sharing"",""เชียงราย!I524"")"),325)</f>
        <v>325</v>
      </c>
      <c r="J629" s="341">
        <f ca="1">IFERROR(__xludf.DUMMYFUNCTION("IMPORTRANGE(""https://docs.google.com/spreadsheets/d/11923uPwbBZFjjGgGUA6NLw09EwE0CqkOc4q9oUmW1yo/edit?usp=sharing"",""เชียงราย!J524"")"),133)</f>
        <v>133</v>
      </c>
      <c r="K629" s="342">
        <f t="shared" ca="1" si="129"/>
        <v>40.92307692307692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41">
        <f ca="1">IFERROR(__xludf.DUMMYFUNCTION("IMPORTRANGE(""https://docs.google.com/spreadsheets/d/11923uPwbBZFjjGgGUA6NLw09EwE0CqkOc4q9oUmW1yo/edit?usp=sharing"",""เชียงราย!J525"")"),805477.22)</f>
        <v>805477.22</v>
      </c>
      <c r="K630" s="342">
        <f t="shared" ca="1" si="129"/>
        <v>12.591484391360087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IFERROR(__xludf.DUMMYFUNCTION("IMPORTRANGE(""https://docs.google.com/spreadsheets/d/11923uPwbBZFjjGgGUA6NLw09EwE0CqkOc4q9oUmW1yo/edit?usp=sharing"",""เชียงราย!I526"")"),162)</f>
        <v>162</v>
      </c>
      <c r="J631" s="341">
        <f ca="1">IFERROR(__xludf.DUMMYFUNCTION("IMPORTRANGE(""https://docs.google.com/spreadsheets/d/11923uPwbBZFjjGgGUA6NLw09EwE0CqkOc4q9oUmW1yo/edit?usp=sharing"",""เชียงราย!J526"")"),83)</f>
        <v>83</v>
      </c>
      <c r="K631" s="342">
        <f t="shared" ca="1" si="129"/>
        <v>51.23456790123457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IFERROR(__xludf.DUMMYFUNCTION("IMPORTRANGE(""https://docs.google.com/spreadsheets/d/11923uPwbBZFjjGgGUA6NLw09EwE0CqkOc4q9oUmW1yo/edit?usp=sharing"",""เชียงราย!I527"")"),742206.51)</f>
        <v>742206.51</v>
      </c>
      <c r="J632" s="341">
        <f ca="1">IFERROR(__xludf.DUMMYFUNCTION("IMPORTRANGE(""https://docs.google.com/spreadsheets/d/11923uPwbBZFjjGgGUA6NLw09EwE0CqkOc4q9oUmW1yo/edit?usp=sharing"",""เชียงราย!J527"")"),0)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IFERROR(__xludf.DUMMYFUNCTION("IMPORTRANGE(""https://docs.google.com/spreadsheets/d/11923uPwbBZFjjGgGUA6NLw09EwE0CqkOc4q9oUmW1yo/edit?usp=sharing"",""เชียงราย!I528"")"),15)</f>
        <v>15</v>
      </c>
      <c r="J633" s="341">
        <f ca="1">IFERROR(__xludf.DUMMYFUNCTION("IMPORTRANGE(""https://docs.google.com/spreadsheets/d/11923uPwbBZFjjGgGUA6NLw09EwE0CqkOc4q9oUmW1yo/edit?usp=sharing"",""เชียงราย!J528"")"),0)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IFERROR(__xludf.DUMMYFUNCTION("IMPORTRANGE(""https://docs.google.com/spreadsheets/d/11923uPwbBZFjjGgGUA6NLw09EwE0CqkOc4q9oUmW1yo/edit?usp=sharing"",""เชียงราย!I529"")"),5000000)</f>
        <v>5000000</v>
      </c>
      <c r="J634" s="341">
        <f ca="1">IFERROR(__xludf.DUMMYFUNCTION("IMPORTRANGE(""https://docs.google.com/spreadsheets/d/11923uPwbBZFjjGgGUA6NLw09EwE0CqkOc4q9oUmW1yo/edit?usp=sharing"",""เชียงราย!J529"")"),2420000)</f>
        <v>2420000</v>
      </c>
      <c r="K634" s="342">
        <f t="shared" ca="1" si="129"/>
        <v>48.4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IFERROR(__xludf.DUMMYFUNCTION("IMPORTRANGE(""https://docs.google.com/spreadsheets/d/11923uPwbBZFjjGgGUA6NLw09EwE0CqkOc4q9oUmW1yo/edit?usp=sharing"",""เชียงราย!I530"")"),212)</f>
        <v>212</v>
      </c>
      <c r="J635" s="505">
        <f ca="1">IFERROR(__xludf.DUMMYFUNCTION("IMPORTRANGE(""https://docs.google.com/spreadsheets/d/11923uPwbBZFjjGgGUA6NLw09EwE0CqkOc4q9oUmW1yo/edit?usp=sharing"",""เชียงราย!J530"")"),81)</f>
        <v>81</v>
      </c>
      <c r="K635" s="487">
        <f t="shared" ca="1" si="129"/>
        <v>38.20754716981132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IFERROR(__xludf.DUMMYFUNCTION("IMPORTRANGE(""https://docs.google.com/spreadsheets/d/11923uPwbBZFjjGgGUA6NLw09EwE0CqkOc4q9oUmW1yo/edit?usp=sharing"",""เชียงราย!J541"")"),0)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IFERROR(__xludf.DUMMYFUNCTION("IMPORTRANGE(""https://docs.google.com/spreadsheets/d/11923uPwbBZFjjGgGUA6NLw09EwE0CqkOc4q9oUmW1yo/edit?usp=sharing"",""เชียงราย!J542"")"),0)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IFERROR(__xludf.DUMMYFUNCTION("IMPORTRANGE(""https://docs.google.com/spreadsheets/d/11923uPwbBZFjjGgGUA6NLw09EwE0CqkOc4q9oUmW1yo/edit?usp=sharing"",""เชียงราย!I543"")"),0)</f>
        <v>0</v>
      </c>
      <c r="J648" s="536">
        <f ca="1">IFERROR(__xludf.DUMMYFUNCTION("IMPORTRANGE(""https://docs.google.com/spreadsheets/d/11923uPwbBZFjjGgGUA6NLw09EwE0CqkOc4q9oUmW1yo/edit?usp=sharing"",""เชียงราย!J543"")"),0)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IFERROR(__xludf.DUMMYFUNCTION("IMPORTRANGE(""https://docs.google.com/spreadsheets/d/11923uPwbBZFjjGgGUA6NLw09EwE0CqkOc4q9oUmW1yo/edit?usp=sharing"",""เชียงราย!L543"")"),0)</f>
        <v>0</v>
      </c>
      <c r="M648" s="521"/>
      <c r="N648" s="538">
        <f ca="1">IFERROR(__xludf.DUMMYFUNCTION("IMPORTRANGE(""https://docs.google.com/spreadsheets/d/11923uPwbBZFjjGgGUA6NLw09EwE0CqkOc4q9oUmW1yo/edit?usp=sharing"",""เชียงราย!M543"")"),0)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IFERROR(__xludf.DUMMYFUNCTION("IMPORTRANGE(""https://docs.google.com/spreadsheets/d/11923uPwbBZFjjGgGUA6NLw09EwE0CqkOc4q9oUmW1yo/edit?usp=sharing"",""เชียงราย!I544"")"),0)</f>
        <v>0</v>
      </c>
      <c r="J649" s="536">
        <f ca="1">IFERROR(__xludf.DUMMYFUNCTION("IMPORTRANGE(""https://docs.google.com/spreadsheets/d/11923uPwbBZFjjGgGUA6NLw09EwE0CqkOc4q9oUmW1yo/edit?usp=sharing"",""เชียงราย!J544"")"),0)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IFERROR(__xludf.DUMMYFUNCTION("IMPORTRANGE(""https://docs.google.com/spreadsheets/d/11923uPwbBZFjjGgGUA6NLw09EwE0CqkOc4q9oUmW1yo/edit?usp=sharing"",""เชียงราย!L544"")"),0)</f>
        <v>0</v>
      </c>
      <c r="M649" s="521"/>
      <c r="N649" s="538">
        <f ca="1">IFERROR(__xludf.DUMMYFUNCTION("IMPORTRANGE(""https://docs.google.com/spreadsheets/d/11923uPwbBZFjjGgGUA6NLw09EwE0CqkOc4q9oUmW1yo/edit?usp=sharing"",""เชียงราย!M544"")"),0)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IFERROR(__xludf.DUMMYFUNCTION("IMPORTRANGE(""https://docs.google.com/spreadsheets/d/11923uPwbBZFjjGgGUA6NLw09EwE0CqkOc4q9oUmW1yo/edit?usp=sharing"",""เชียงราย!I545"")"),0)</f>
        <v>0</v>
      </c>
      <c r="J650" s="536">
        <f ca="1">IFERROR(__xludf.DUMMYFUNCTION("IMPORTRANGE(""https://docs.google.com/spreadsheets/d/11923uPwbBZFjjGgGUA6NLw09EwE0CqkOc4q9oUmW1yo/edit?usp=sharing"",""เชียงราย!J545"")"),0)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IFERROR(__xludf.DUMMYFUNCTION("IMPORTRANGE(""https://docs.google.com/spreadsheets/d/11923uPwbBZFjjGgGUA6NLw09EwE0CqkOc4q9oUmW1yo/edit?usp=sharing"",""เชียงราย!L545"")"),0)</f>
        <v>0</v>
      </c>
      <c r="M650" s="521"/>
      <c r="N650" s="538">
        <f ca="1">IFERROR(__xludf.DUMMYFUNCTION("IMPORTRANGE(""https://docs.google.com/spreadsheets/d/11923uPwbBZFjjGgGUA6NLw09EwE0CqkOc4q9oUmW1yo/edit?usp=sharing"",""เชียงราย!M545"")"),0)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IFERROR(__xludf.DUMMYFUNCTION("IMPORTRANGE(""https://docs.google.com/spreadsheets/d/11923uPwbBZFjjGgGUA6NLw09EwE0CqkOc4q9oUmW1yo/edit?usp=sharing"",""เชียงราย!I546"")"),0)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IFERROR(__xludf.DUMMYFUNCTION("IMPORTRANGE(""https://docs.google.com/spreadsheets/d/11923uPwbBZFjjGgGUA6NLw09EwE0CqkOc4q9oUmW1yo/edit?usp=sharing"",""เชียงราย!L546"")"),0)</f>
        <v>0</v>
      </c>
      <c r="M651" s="521"/>
      <c r="N651" s="538">
        <f ca="1">IFERROR(__xludf.DUMMYFUNCTION("IMPORTRANGE(""https://docs.google.com/spreadsheets/d/11923uPwbBZFjjGgGUA6NLw09EwE0CqkOc4q9oUmW1yo/edit?usp=sharing"",""เชียงราย!M546"")"),0)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IFERROR(__xludf.DUMMYFUNCTION("IMPORTRANGE(""https://docs.google.com/spreadsheets/d/11923uPwbBZFjjGgGUA6NLw09EwE0CqkOc4q9oUmW1yo/edit?usp=sharing"",""เชียงราย!J547"")"),0)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IFERROR(__xludf.DUMMYFUNCTION("IMPORTRANGE(""https://docs.google.com/spreadsheets/d/11923uPwbBZFjjGgGUA6NLw09EwE0CqkOc4q9oUmW1yo/edit?usp=sharing"",""เชียงราย!J548"")"),0)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IFERROR(__xludf.DUMMYFUNCTION("IMPORTRANGE(""https://docs.google.com/spreadsheets/d/11923uPwbBZFjjGgGUA6NLw09EwE0CqkOc4q9oUmW1yo/edit?usp=sharing"",""เชียงราย!J550"")"),0)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IFERROR(__xludf.DUMMYFUNCTION("IMPORTRANGE(""https://docs.google.com/spreadsheets/d/11923uPwbBZFjjGgGUA6NLw09EwE0CqkOc4q9oUmW1yo/edit?usp=sharing"",""เชียงราย!J551"")"),0)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IFERROR(__xludf.DUMMYFUNCTION("IMPORTRANGE(""https://docs.google.com/spreadsheets/d/11923uPwbBZFjjGgGUA6NLw09EwE0CqkOc4q9oUmW1yo/edit?usp=sharing"",""เชียงราย!J552"")"),0)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IFERROR(__xludf.DUMMYFUNCTION("IMPORTRANGE(""https://docs.google.com/spreadsheets/d/11923uPwbBZFjjGgGUA6NLw09EwE0CqkOc4q9oUmW1yo/edit?usp=sharing"",""เชียงราย!J553"")"),0)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IFERROR(__xludf.DUMMYFUNCTION("IMPORTRANGE(""https://docs.google.com/spreadsheets/d/11923uPwbBZFjjGgGUA6NLw09EwE0CqkOc4q9oUmW1yo/edit?usp=sharing"",""เชียงราย!J554"")"),0)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IFERROR(__xludf.DUMMYFUNCTION("IMPORTRANGE(""https://docs.google.com/spreadsheets/d/11923uPwbBZFjjGgGUA6NLw09EwE0CqkOc4q9oUmW1yo/edit?usp=sharing"",""เชียงราย!J555"")"),0)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IFERROR(__xludf.DUMMYFUNCTION("IMPORTRANGE(""https://docs.google.com/spreadsheets/d/11923uPwbBZFjjGgGUA6NLw09EwE0CqkOc4q9oUmW1yo/edit?usp=sharing"",""เชียงราย!J556"")"),0)</f>
        <v>0</v>
      </c>
      <c r="K661" s="537"/>
      <c r="L661" s="522">
        <f ca="1">IFERROR(__xludf.DUMMYFUNCTION("IMPORTRANGE(""https://docs.google.com/spreadsheets/d/11923uPwbBZFjjGgGUA6NLw09EwE0CqkOc4q9oUmW1yo/edit?usp=sharing"",""เชียงราย!L556"")"),0)</f>
        <v>0</v>
      </c>
      <c r="M661" s="521"/>
      <c r="N661" s="538">
        <f ca="1">IFERROR(__xludf.DUMMYFUNCTION("IMPORTRANGE(""https://docs.google.com/spreadsheets/d/11923uPwbBZFjjGgGUA6NLw09EwE0CqkOc4q9oUmW1yo/edit?usp=sharing"",""เชียงราย!M556"")"),0)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IFERROR(__xludf.DUMMYFUNCTION("IMPORTRANGE(""https://docs.google.com/spreadsheets/d/11923uPwbBZFjjGgGUA6NLw09EwE0CqkOc4q9oUmW1yo/edit?usp=sharing"",""เชียงราย!J557"")"),0)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IFERROR(__xludf.DUMMYFUNCTION("IMPORTRANGE(""https://docs.google.com/spreadsheets/d/11923uPwbBZFjjGgGUA6NLw09EwE0CqkOc4q9oUmW1yo/edit?usp=sharing"",""เชียงราย!I558"")"),0)</f>
        <v>0</v>
      </c>
      <c r="J663" s="536">
        <f ca="1">IFERROR(__xludf.DUMMYFUNCTION("IMPORTRANGE(""https://docs.google.com/spreadsheets/d/11923uPwbBZFjjGgGUA6NLw09EwE0CqkOc4q9oUmW1yo/edit?usp=sharing"",""เชียงราย!J558"")"),0)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IFERROR(__xludf.DUMMYFUNCTION("IMPORTRANGE(""https://docs.google.com/spreadsheets/d/11923uPwbBZFjjGgGUA6NLw09EwE0CqkOc4q9oUmW1yo/edit?usp=sharing"",""เชียงราย!I560"")"),0)</f>
        <v>0</v>
      </c>
      <c r="J665" s="536">
        <f ca="1">IFERROR(__xludf.DUMMYFUNCTION("IMPORTRANGE(""https://docs.google.com/spreadsheets/d/11923uPwbBZFjjGgGUA6NLw09EwE0CqkOc4q9oUmW1yo/edit?usp=sharing"",""เชียงราย!J560"")"),0)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IFERROR(__xludf.DUMMYFUNCTION("IMPORTRANGE(""https://docs.google.com/spreadsheets/d/11923uPwbBZFjjGgGUA6NLw09EwE0CqkOc4q9oUmW1yo/edit?usp=sharing"",""เชียงราย!L560"")"),0)</f>
        <v>0</v>
      </c>
      <c r="M665" s="521"/>
      <c r="N665" s="538">
        <f ca="1">IFERROR(__xludf.DUMMYFUNCTION("IMPORTRANGE(""https://docs.google.com/spreadsheets/d/11923uPwbBZFjjGgGUA6NLw09EwE0CqkOc4q9oUmW1yo/edit?usp=sharing"",""เชียงราย!M560"")"),0)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IFERROR(__xludf.DUMMYFUNCTION("IMPORTRANGE(""https://docs.google.com/spreadsheets/d/11923uPwbBZFjjGgGUA6NLw09EwE0CqkOc4q9oUmW1yo/edit?usp=sharing"",""เชียงราย!J561"")"),0)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IFERROR(__xludf.DUMMYFUNCTION("IMPORTRANGE(""https://docs.google.com/spreadsheets/d/11923uPwbBZFjjGgGUA6NLw09EwE0CqkOc4q9oUmW1yo/edit?usp=sharing"",""เชียงราย!J562"")"),0)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IFERROR(__xludf.DUMMYFUNCTION("IMPORTRANGE(""https://docs.google.com/spreadsheets/d/11923uPwbBZFjjGgGUA6NLw09EwE0CqkOc4q9oUmW1yo/edit?usp=sharing"",""เชียงราย!I563"")"),0)</f>
        <v>0</v>
      </c>
      <c r="J668" s="536">
        <f ca="1">IFERROR(__xludf.DUMMYFUNCTION("IMPORTRANGE(""https://docs.google.com/spreadsheets/d/11923uPwbBZFjjGgGUA6NLw09EwE0CqkOc4q9oUmW1yo/edit?usp=sharing"",""เชียงราย!J563"")"),0)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IFERROR(__xludf.DUMMYFUNCTION("IMPORTRANGE(""https://docs.google.com/spreadsheets/d/11923uPwbBZFjjGgGUA6NLw09EwE0CqkOc4q9oUmW1yo/edit?usp=sharing"",""เชียงราย!L563"")"),0)</f>
        <v>0</v>
      </c>
      <c r="M668" s="521"/>
      <c r="N668" s="538">
        <f ca="1">IFERROR(__xludf.DUMMYFUNCTION("IMPORTRANGE(""https://docs.google.com/spreadsheets/d/11923uPwbBZFjjGgGUA6NLw09EwE0CqkOc4q9oUmW1yo/edit?usp=sharing"",""เชียงราย!M563"")"),0)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IFERROR(__xludf.DUMMYFUNCTION("IMPORTRANGE(""https://docs.google.com/spreadsheets/d/11923uPwbBZFjjGgGUA6NLw09EwE0CqkOc4q9oUmW1yo/edit?usp=sharing"",""เชียงราย!J564"")"),0)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IFERROR(__xludf.DUMMYFUNCTION("IMPORTRANGE(""https://docs.google.com/spreadsheets/d/11923uPwbBZFjjGgGUA6NLw09EwE0CqkOc4q9oUmW1yo/edit?usp=sharing"",""เชียงราย!J565"")"),0)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IFERROR(__xludf.DUMMYFUNCTION("IMPORTRANGE(""https://docs.google.com/spreadsheets/d/11923uPwbBZFjjGgGUA6NLw09EwE0CqkOc4q9oUmW1yo/edit?usp=sharing"",""เชียงราย!I566"")"),0)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IFERROR(__xludf.DUMMYFUNCTION("IMPORTRANGE(""https://docs.google.com/spreadsheets/d/11923uPwbBZFjjGgGUA6NLw09EwE0CqkOc4q9oUmW1yo/edit?usp=sharing"",""เชียงราย!L566"")"),0)</f>
        <v>0</v>
      </c>
      <c r="M671" s="521"/>
      <c r="N671" s="538">
        <f ca="1">IFERROR(__xludf.DUMMYFUNCTION("IMPORTRANGE(""https://docs.google.com/spreadsheets/d/11923uPwbBZFjjGgGUA6NLw09EwE0CqkOc4q9oUmW1yo/edit?usp=sharing"",""เชียงราย!M566"")"),0)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IFERROR(__xludf.DUMMYFUNCTION("IMPORTRANGE(""https://docs.google.com/spreadsheets/d/11923uPwbBZFjjGgGUA6NLw09EwE0CqkOc4q9oUmW1yo/edit?usp=sharing"",""เชียงราย!J567"")"),0)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IFERROR(__xludf.DUMMYFUNCTION("IMPORTRANGE(""https://docs.google.com/spreadsheets/d/11923uPwbBZFjjGgGUA6NLw09EwE0CqkOc4q9oUmW1yo/edit?usp=sharing"",""เชียงราย!J568"")"),0)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IFERROR(__xludf.DUMMYFUNCTION("IMPORTRANGE(""https://docs.google.com/spreadsheets/d/11923uPwbBZFjjGgGUA6NLw09EwE0CqkOc4q9oUmW1yo/edit?usp=sharing"",""เชียงราย!J569"")"),0)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IFERROR(__xludf.DUMMYFUNCTION("IMPORTRANGE(""https://docs.google.com/spreadsheets/d/11923uPwbBZFjjGgGUA6NLw09EwE0CqkOc4q9oUmW1yo/edit?usp=sharing"",""เชียงราย!J570"")"),0)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IFERROR(__xludf.DUMMYFUNCTION("IMPORTRANGE(""https://docs.google.com/spreadsheets/d/11923uPwbBZFjjGgGUA6NLw09EwE0CqkOc4q9oUmW1yo/edit?usp=sharing"",""เชียงราย!J571"")"),0)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IFERROR(__xludf.DUMMYFUNCTION("IMPORTRANGE(""https://docs.google.com/spreadsheets/d/11923uPwbBZFjjGgGUA6NLw09EwE0CqkOc4q9oUmW1yo/edit?usp=sharing"",""เชียงราย!J572"")"),0)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A3:P3"/>
    <mergeCell ref="A2:P2"/>
    <mergeCell ref="A1:P1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264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7397684</v>
      </c>
      <c r="M8" s="23">
        <f t="shared" ca="1" si="0"/>
        <v>4816607</v>
      </c>
      <c r="N8" s="23">
        <f t="shared" ca="1" si="0"/>
        <v>4831107.04</v>
      </c>
      <c r="O8" s="22">
        <f t="shared" ref="O8:O16" ca="1" si="1">IF(L8&gt;0,N8*100/L8,0)</f>
        <v>65.305669179705433</v>
      </c>
      <c r="P8" s="22">
        <f t="shared" ref="P8:P16" ca="1" si="2">IF(M8&gt;0,N8*100/M8,0)</f>
        <v>100.30104262191206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7397684</v>
      </c>
      <c r="M10" s="30">
        <f t="shared" ca="1" si="4"/>
        <v>4816607</v>
      </c>
      <c r="N10" s="30">
        <f t="shared" ca="1" si="4"/>
        <v>4831107.04</v>
      </c>
      <c r="O10" s="29">
        <f t="shared" ca="1" si="1"/>
        <v>65.305669179705433</v>
      </c>
      <c r="P10" s="29">
        <f t="shared" ca="1" si="2"/>
        <v>100.30104262191206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7086284</v>
      </c>
      <c r="M12" s="39">
        <f t="shared" ca="1" si="6"/>
        <v>4505207</v>
      </c>
      <c r="N12" s="39">
        <f t="shared" ca="1" si="6"/>
        <v>4519707.04</v>
      </c>
      <c r="O12" s="39">
        <f t="shared" ca="1" si="1"/>
        <v>63.781059861557907</v>
      </c>
      <c r="P12" s="39">
        <f t="shared" ca="1" si="2"/>
        <v>100.32185069409685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2412000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4674284</v>
      </c>
      <c r="M14" s="39">
        <f t="shared" si="8"/>
        <v>0</v>
      </c>
      <c r="N14" s="39">
        <f t="shared" ca="1" si="8"/>
        <v>1311206.05</v>
      </c>
      <c r="O14" s="39">
        <f t="shared" ca="1" si="1"/>
        <v>28.051484462647114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311400</v>
      </c>
      <c r="M16" s="39">
        <f t="shared" ca="1" si="10"/>
        <v>311400</v>
      </c>
      <c r="N16" s="39">
        <f t="shared" ca="1" si="10"/>
        <v>311400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4736305</v>
      </c>
      <c r="M18" s="23">
        <f t="shared" ca="1" si="11"/>
        <v>4816607</v>
      </c>
      <c r="N18" s="23">
        <f t="shared" ca="1" si="11"/>
        <v>3519900.99</v>
      </c>
      <c r="O18" s="22">
        <f t="shared" ref="O18:O20" ca="1" si="12">IF(L18&gt;0,N18*100/L18,0)</f>
        <v>74.317447672816684</v>
      </c>
      <c r="P18" s="22">
        <f t="shared" ref="P18:P26" ca="1" si="13">IF(M18&gt;0,N18*100/M18,0)</f>
        <v>73.078434466420035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4736305</v>
      </c>
      <c r="M20" s="30">
        <f t="shared" ca="1" si="15"/>
        <v>4816607</v>
      </c>
      <c r="N20" s="30">
        <f t="shared" ca="1" si="15"/>
        <v>3519900.99</v>
      </c>
      <c r="O20" s="29">
        <f t="shared" ca="1" si="12"/>
        <v>74.317447672816684</v>
      </c>
      <c r="P20" s="29">
        <f t="shared" ca="1" si="13"/>
        <v>73.078434466420035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4424905</v>
      </c>
      <c r="M22" s="42">
        <f t="shared" ca="1" si="18"/>
        <v>4505207</v>
      </c>
      <c r="N22" s="39">
        <f t="shared" ca="1" si="18"/>
        <v>3208500.99</v>
      </c>
      <c r="O22" s="39">
        <f t="shared" ca="1" si="17"/>
        <v>72.510053662169014</v>
      </c>
      <c r="P22" s="39">
        <f t="shared" ca="1" si="13"/>
        <v>71.217615306022566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2412000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2012905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311400</v>
      </c>
      <c r="M26" s="50">
        <f t="shared" ca="1" si="22"/>
        <v>311400</v>
      </c>
      <c r="N26" s="50">
        <f t="shared" ca="1" si="22"/>
        <v>311400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2661379</v>
      </c>
      <c r="M28" s="23">
        <f t="shared" si="23"/>
        <v>0</v>
      </c>
      <c r="N28" s="23">
        <f t="shared" ca="1" si="23"/>
        <v>1311206.05</v>
      </c>
      <c r="O28" s="22">
        <f t="shared" ref="O28:O30" ca="1" si="24">IF(L28&gt;0,N28*100/L28,0)</f>
        <v>49.267918999886902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2661379</v>
      </c>
      <c r="M30" s="30">
        <f t="shared" si="27"/>
        <v>0</v>
      </c>
      <c r="N30" s="30">
        <f t="shared" ca="1" si="27"/>
        <v>1311206.05</v>
      </c>
      <c r="O30" s="29">
        <f t="shared" ca="1" si="24"/>
        <v>49.267918999886902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2661379</v>
      </c>
      <c r="M32" s="39">
        <f t="shared" si="30"/>
        <v>0</v>
      </c>
      <c r="N32" s="39">
        <f t="shared" ca="1" si="30"/>
        <v>1311206.05</v>
      </c>
      <c r="O32" s="39">
        <f t="shared" ca="1" si="29"/>
        <v>49.267918999886902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2661379</v>
      </c>
      <c r="M34" s="39">
        <f t="shared" si="32"/>
        <v>0</v>
      </c>
      <c r="N34" s="39">
        <f t="shared" ca="1" si="32"/>
        <v>1311206.05</v>
      </c>
      <c r="O34" s="39">
        <f t="shared" ca="1" si="29"/>
        <v>49.267918999886902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4736305</v>
      </c>
      <c r="M37" s="55">
        <f t="shared" ca="1" si="33"/>
        <v>4816607</v>
      </c>
      <c r="N37" s="55">
        <f t="shared" ca="1" si="33"/>
        <v>3519900.99</v>
      </c>
      <c r="O37" s="56">
        <f t="shared" ca="1" si="29"/>
        <v>74.317447672816684</v>
      </c>
      <c r="P37" s="56">
        <f t="shared" ca="1" si="25"/>
        <v>73.078434466420035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885000</v>
      </c>
      <c r="M41" s="79">
        <f t="shared" ca="1" si="34"/>
        <v>885000</v>
      </c>
      <c r="N41" s="79">
        <f t="shared" ca="1" si="34"/>
        <v>787427.78</v>
      </c>
      <c r="O41" s="78">
        <f t="shared" ref="O41:O43" ca="1" si="35">IF(L41&gt;0,N41*100/L41,0)</f>
        <v>88.97489039548023</v>
      </c>
      <c r="P41" s="78">
        <f t="shared" ref="P41:P43" ca="1" si="36">IF(M41&gt;0,N41*100/M41,0)</f>
        <v>88.97489039548023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885000</v>
      </c>
      <c r="M43" s="79">
        <f t="shared" ca="1" si="38"/>
        <v>885000</v>
      </c>
      <c r="N43" s="79">
        <f t="shared" ca="1" si="38"/>
        <v>787427.78</v>
      </c>
      <c r="O43" s="78">
        <f t="shared" ca="1" si="35"/>
        <v>88.97489039548023</v>
      </c>
      <c r="P43" s="78">
        <f t="shared" ca="1" si="36"/>
        <v>88.97489039548023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709000</v>
      </c>
      <c r="M45" s="50">
        <f ca="1">IFERROR(__xludf.DUMMYFUNCTION("IMPORTRANGE(""https://docs.google.com/spreadsheets/d/1Yj_ptqi66GCucihVvJfMjLAmec39IyEx_6qawtMGysU/edit?usp=sharing"",""สบก!Q22"")"),709000)</f>
        <v>709000</v>
      </c>
      <c r="N45" s="50">
        <f ca="1">IFERROR(__xludf.DUMMYFUNCTION("IMPORTRANGE(""https://docs.google.com/spreadsheets/d/1Yj_ptqi66GCucihVvJfMjLAmec39IyEx_6qawtMGysU/edit?usp=sharing"",""สบก!R22"")"),611427.78)</f>
        <v>611427.78</v>
      </c>
      <c r="O45" s="39">
        <f ca="1">IF(L45&gt;0,N45*100/L45,0)</f>
        <v>86.238050775740476</v>
      </c>
      <c r="P45" s="39">
        <f ca="1">IF(M45&gt;0,N45*100/M45,0)</f>
        <v>86.238050775740476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IFERROR(__xludf.DUMMYFUNCTION("IMPORTRANGE(""https://docs.google.com/spreadsheets/d/1Yj_ptqi66GCucihVvJfMjLAmec39IyEx_6qawtMGysU/edit?usp=sharing"",""สบก!M22"")"),709000)</f>
        <v>709000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IFERROR(__xludf.DUMMYFUNCTION("IMPORTRANGE(""https://docs.google.com/spreadsheets/d/1Yj_ptqi66GCucihVvJfMjLAmec39IyEx_6qawtMGysU/edit?usp=sharing"",""สบก!N22"")"),0)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IFERROR(__xludf.DUMMYFUNCTION("IMPORTRANGE(""https://docs.google.com/spreadsheets/d/1Yj_ptqi66GCucihVvJfMjLAmec39IyEx_6qawtMGysU/edit?usp=sharing"",""สบก!O22"")"),176000)</f>
        <v>176000</v>
      </c>
      <c r="M49" s="50">
        <f ca="1">L49</f>
        <v>176000</v>
      </c>
      <c r="N49" s="50">
        <f ca="1">IFERROR(__xludf.DUMMYFUNCTION("IMPORTRANGE(""https://docs.google.com/spreadsheets/d/1Yj_ptqi66GCucihVvJfMjLAmec39IyEx_6qawtMGysU/edit?usp=sharing"",""สบก!S22"")"),176000)</f>
        <v>176000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900000</v>
      </c>
      <c r="M53" s="121">
        <f t="shared" ca="1" si="39"/>
        <v>855132</v>
      </c>
      <c r="N53" s="121">
        <f t="shared" ca="1" si="39"/>
        <v>637232</v>
      </c>
      <c r="O53" s="120">
        <f t="shared" ref="O53:O55" ca="1" si="40">IF(L53&gt;0,N53*100/L53,0)</f>
        <v>70.803555555555562</v>
      </c>
      <c r="P53" s="120">
        <f t="shared" ref="P53:P55" ca="1" si="41">IF(M53&gt;0,N53*100/M53,0)</f>
        <v>74.518553860690517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900000</v>
      </c>
      <c r="M55" s="121">
        <f t="shared" ca="1" si="43"/>
        <v>855132</v>
      </c>
      <c r="N55" s="121">
        <f t="shared" ca="1" si="43"/>
        <v>637232</v>
      </c>
      <c r="O55" s="120">
        <f t="shared" ca="1" si="40"/>
        <v>70.803555555555562</v>
      </c>
      <c r="P55" s="120">
        <f t="shared" ca="1" si="41"/>
        <v>74.518553860690517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900000</v>
      </c>
      <c r="M57" s="50">
        <f ca="1">IFERROR(__xludf.DUMMYFUNCTION("IMPORTRANGE(""https://docs.google.com/spreadsheets/d/1Yj_ptqi66GCucihVvJfMjLAmec39IyEx_6qawtMGysU/edit?usp=sharing"",""สบก!Z22"")"),855132)</f>
        <v>855132</v>
      </c>
      <c r="N57" s="50">
        <f ca="1">IFERROR(__xludf.DUMMYFUNCTION("IMPORTRANGE(""https://docs.google.com/spreadsheets/d/1Yj_ptqi66GCucihVvJfMjLAmec39IyEx_6qawtMGysU/edit?usp=sharing"",""สบก!AA22"")"),637232)</f>
        <v>637232</v>
      </c>
      <c r="O57" s="39">
        <f ca="1">IF(L57&gt;0,N57*100/L57,0)</f>
        <v>70.803555555555562</v>
      </c>
      <c r="P57" s="39">
        <f ca="1">IF(M57&gt;0,N57*100/M57,0)</f>
        <v>74.518553860690517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IFERROR(__xludf.DUMMYFUNCTION("IMPORTRANGE(""https://docs.google.com/spreadsheets/d/1Yj_ptqi66GCucihVvJfMjLAmec39IyEx_6qawtMGysU/edit?usp=sharing"",""สบก!V22"")"),900000)</f>
        <v>900000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IFERROR(__xludf.DUMMYFUNCTION("IMPORTRANGE(""https://docs.google.com/spreadsheets/d/1Yj_ptqi66GCucihVvJfMjLAmec39IyEx_6qawtMGysU/edit?usp=sharing"",""สบก!W22"")"),0)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IFERROR(__xludf.DUMMYFUNCTION("IMPORTRANGE(""https://docs.google.com/spreadsheets/d/1Yj_ptqi66GCucihVvJfMjLAmec39IyEx_6qawtMGysU/edit?usp=sharing"",""สบก!X22"")"),0)</f>
        <v>0</v>
      </c>
      <c r="M61" s="50"/>
      <c r="N61" s="50">
        <f ca="1">IFERROR(__xludf.DUMMYFUNCTION("IMPORTRANGE(""https://docs.google.com/spreadsheets/d/1Yj_ptqi66GCucihVvJfMjLAmec39IyEx_6qawtMGysU/edit?usp=sharing"",""สบก!AB22"")"),0)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IFERROR(__xludf.DUMMYFUNCTION("IMPORTRANGE(""https://docs.google.com/spreadsheets/d/11923uPwbBZFjjGgGUA6NLw09EwE0CqkOc4q9oUmW1yo/edit?usp=sharing"",""เชียงใหม่!I9"")"),1)</f>
        <v>1</v>
      </c>
      <c r="J64" s="142">
        <f ca="1">IFERROR(__xludf.DUMMYFUNCTION("IMPORTRANGE(""https://docs.google.com/spreadsheets/d/11923uPwbBZFjjGgGUA6NLw09EwE0CqkOc4q9oUmW1yo/edit?usp=sharing"",""เชียงใหม่!J9"")"),1)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IFERROR(__xludf.DUMMYFUNCTION("IMPORTRANGE(""https://docs.google.com/spreadsheets/d/11923uPwbBZFjjGgGUA6NLw09EwE0CqkOc4q9oUmW1yo/edit?usp=sharing"",""เชียงใหม่!I10"")"),50)</f>
        <v>50</v>
      </c>
      <c r="J65" s="142">
        <f ca="1">IFERROR(__xludf.DUMMYFUNCTION("IMPORTRANGE(""https://docs.google.com/spreadsheets/d/11923uPwbBZFjjGgGUA6NLw09EwE0CqkOc4q9oUmW1yo/edit?usp=sharing"",""เชียงใหม่!J10"")"),50)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486000</v>
      </c>
      <c r="M66" s="152">
        <f t="shared" ca="1" si="45"/>
        <v>522120</v>
      </c>
      <c r="N66" s="152">
        <f t="shared" ca="1" si="45"/>
        <v>434032.27</v>
      </c>
      <c r="O66" s="151">
        <f t="shared" ref="O66:O68" ca="1" si="46">IF(L66&gt;0,N66*100/L66,0)</f>
        <v>89.307051440329218</v>
      </c>
      <c r="P66" s="151">
        <f t="shared" ref="P66:P68" ca="1" si="47">IF(M66&gt;0,N66*100/M66,0)</f>
        <v>83.128834367578335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486000</v>
      </c>
      <c r="M68" s="88">
        <f t="shared" ca="1" si="49"/>
        <v>522120</v>
      </c>
      <c r="N68" s="88">
        <f t="shared" ca="1" si="49"/>
        <v>434032.27</v>
      </c>
      <c r="O68" s="156">
        <f t="shared" ca="1" si="46"/>
        <v>89.307051440329218</v>
      </c>
      <c r="P68" s="156">
        <f t="shared" ca="1" si="47"/>
        <v>83.128834367578335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486000</v>
      </c>
      <c r="M70" s="167">
        <f ca="1">IFERROR(__xludf.DUMMYFUNCTION("IMPORTRANGE(""https://docs.google.com/spreadsheets/d/1Yj_ptqi66GCucihVvJfMjLAmec39IyEx_6qawtMGysU/edit?usp=sharing"",""สบก!AI22"")"),522120)</f>
        <v>522120</v>
      </c>
      <c r="N70" s="168">
        <f ca="1">IFERROR(__xludf.DUMMYFUNCTION("IMPORTRANGE(""https://docs.google.com/spreadsheets/d/1Yj_ptqi66GCucihVvJfMjLAmec39IyEx_6qawtMGysU/edit?usp=sharing"",""สบก!AJ22"")"),434032.27)</f>
        <v>434032.27</v>
      </c>
      <c r="O70" s="168">
        <f ca="1">IF(L70&gt;0,N70*100/L70,0)</f>
        <v>89.307051440329218</v>
      </c>
      <c r="P70" s="168">
        <f ca="1">IF(M70&gt;0,N70*100/M70,0)</f>
        <v>83.128834367578335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IFERROR(__xludf.DUMMYFUNCTION("IMPORTRANGE(""https://docs.google.com/spreadsheets/d/1Yj_ptqi66GCucihVvJfMjLAmec39IyEx_6qawtMGysU/edit?usp=sharing"",""สบก!AE22"")"),0)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IFERROR(__xludf.DUMMYFUNCTION("IMPORTRANGE(""https://docs.google.com/spreadsheets/d/1Yj_ptqi66GCucihVvJfMjLAmec39IyEx_6qawtMGysU/edit?usp=sharing"",""สบก!AF22"")"),486000)</f>
        <v>486000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IFERROR(__xludf.DUMMYFUNCTION("IMPORTRANGE(""https://docs.google.com/spreadsheets/d/1Yj_ptqi66GCucihVvJfMjLAmec39IyEx_6qawtMGysU/edit?usp=sharing"",""สบก!AG22"")"),0)</f>
        <v>0</v>
      </c>
      <c r="M74" s="50"/>
      <c r="N74" s="50">
        <f ca="1">IFERROR(__xludf.DUMMYFUNCTION("IMPORTRANGE(""https://docs.google.com/spreadsheets/d/1Yj_ptqi66GCucihVvJfMjLAmec39IyEx_6qawtMGysU/edit?usp=sharing"",""สบก!AK22"")"),0)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IFERROR(__xludf.DUMMYFUNCTION("IMPORTRANGE(""https://docs.google.com/spreadsheets/d/11923uPwbBZFjjGgGUA6NLw09EwE0CqkOc4q9oUmW1yo/edit?usp=sharing"",""เชียงใหม่!J16"")"),0)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IFERROR(__xludf.DUMMYFUNCTION("IMPORTRANGE(""https://docs.google.com/spreadsheets/d/11923uPwbBZFjjGgGUA6NLw09EwE0CqkOc4q9oUmW1yo/edit?usp=sharing"",""เชียงใหม่!J17"")"),1)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IFERROR(__xludf.DUMMYFUNCTION("IMPORTRANGE(""https://docs.google.com/spreadsheets/d/11923uPwbBZFjjGgGUA6NLw09EwE0CqkOc4q9oUmW1yo/edit?usp=sharing"",""เชียงใหม่!J18"")"),1)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IFERROR(__xludf.DUMMYFUNCTION("IMPORTRANGE(""https://docs.google.com/spreadsheets/d/11923uPwbBZFjjGgGUA6NLw09EwE0CqkOc4q9oUmW1yo/edit?usp=sharing"",""เชียงใหม่!J19"")"),1)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IFERROR(__xludf.DUMMYFUNCTION("IMPORTRANGE(""https://docs.google.com/spreadsheets/d/11923uPwbBZFjjGgGUA6NLw09EwE0CqkOc4q9oUmW1yo/edit?usp=sharing"",""เชียงใหม่!I20"")"),1)</f>
        <v>1</v>
      </c>
      <c r="J80" s="200">
        <f ca="1">IFERROR(__xludf.DUMMYFUNCTION("IMPORTRANGE(""https://docs.google.com/spreadsheets/d/11923uPwbBZFjjGgGUA6NLw09EwE0CqkOc4q9oUmW1yo/edit?usp=sharing"",""เชียงใหม่!J20"")"),1)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IFERROR(__xludf.DUMMYFUNCTION("IMPORTRANGE(""https://docs.google.com/spreadsheets/d/11923uPwbBZFjjGgGUA6NLw09EwE0CqkOc4q9oUmW1yo/edit?usp=sharing"",""เชียงใหม่!I21"")"),50)</f>
        <v>50</v>
      </c>
      <c r="J81" s="200">
        <f ca="1">IFERROR(__xludf.DUMMYFUNCTION("IMPORTRANGE(""https://docs.google.com/spreadsheets/d/11923uPwbBZFjjGgGUA6NLw09EwE0CqkOc4q9oUmW1yo/edit?usp=sharing"",""เชียงใหม่!J21"")"),50)</f>
        <v>50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IFERROR(__xludf.DUMMYFUNCTION("IMPORTRANGE(""https://docs.google.com/spreadsheets/d/11923uPwbBZFjjGgGUA6NLw09EwE0CqkOc4q9oUmW1yo/edit?usp=sharing"",""เชียงใหม่!I22"")"),0)</f>
        <v>0</v>
      </c>
      <c r="J82" s="203">
        <f ca="1">IFERROR(__xludf.DUMMYFUNCTION("IMPORTRANGE(""https://docs.google.com/spreadsheets/d/11923uPwbBZFjjGgGUA6NLw09EwE0CqkOc4q9oUmW1yo/edit?usp=sharing"",""เชียงใหม่!J22"")"),0)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IFERROR(__xludf.DUMMYFUNCTION("IMPORTRANGE(""https://docs.google.com/spreadsheets/d/11923uPwbBZFjjGgGUA6NLw09EwE0CqkOc4q9oUmW1yo/edit?usp=sharing"",""เชียงใหม่!I23"")"),0)</f>
        <v>0</v>
      </c>
      <c r="J83" s="203">
        <f ca="1">IFERROR(__xludf.DUMMYFUNCTION("IMPORTRANGE(""https://docs.google.com/spreadsheets/d/11923uPwbBZFjjGgGUA6NLw09EwE0CqkOc4q9oUmW1yo/edit?usp=sharing"",""เชียงใหม่!J23"")"),0)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IFERROR(__xludf.DUMMYFUNCTION("IMPORTRANGE(""https://docs.google.com/spreadsheets/d/11923uPwbBZFjjGgGUA6NLw09EwE0CqkOc4q9oUmW1yo/edit?usp=sharing"",""เชียงใหม่!I24"")"),0)</f>
        <v>0</v>
      </c>
      <c r="J84" s="188">
        <f ca="1">IFERROR(__xludf.DUMMYFUNCTION("IMPORTRANGE(""https://docs.google.com/spreadsheets/d/11923uPwbBZFjjGgGUA6NLw09EwE0CqkOc4q9oUmW1yo/edit?usp=sharing"",""เชียงใหม่!J24"")"),0)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IFERROR(__xludf.DUMMYFUNCTION("IMPORTRANGE(""https://docs.google.com/spreadsheets/d/11923uPwbBZFjjGgGUA6NLw09EwE0CqkOc4q9oUmW1yo/edit?usp=sharing"",""เชียงใหม่!I25"")"),0)</f>
        <v>0</v>
      </c>
      <c r="J85" s="188">
        <f ca="1">IFERROR(__xludf.DUMMYFUNCTION("IMPORTRANGE(""https://docs.google.com/spreadsheets/d/11923uPwbBZFjjGgGUA6NLw09EwE0CqkOc4q9oUmW1yo/edit?usp=sharing"",""เชียงใหม่!J25"")"),0)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IFERROR(__xludf.DUMMYFUNCTION("IMPORTRANGE(""https://docs.google.com/spreadsheets/d/11923uPwbBZFjjGgGUA6NLw09EwE0CqkOc4q9oUmW1yo/edit?usp=sharing"",""เชียงใหม่!I26"")"),1)</f>
        <v>1</v>
      </c>
      <c r="J86" s="203">
        <f ca="1">IFERROR(__xludf.DUMMYFUNCTION("IMPORTRANGE(""https://docs.google.com/spreadsheets/d/11923uPwbBZFjjGgGUA6NLw09EwE0CqkOc4q9oUmW1yo/edit?usp=sharing"",""เชียงใหม่!J26"")"),1)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IFERROR(__xludf.DUMMYFUNCTION("IMPORTRANGE(""https://docs.google.com/spreadsheets/d/11923uPwbBZFjjGgGUA6NLw09EwE0CqkOc4q9oUmW1yo/edit?usp=sharing"",""เชียงใหม่!I27"")"),50)</f>
        <v>50</v>
      </c>
      <c r="J87" s="203">
        <f ca="1">IFERROR(__xludf.DUMMYFUNCTION("IMPORTRANGE(""https://docs.google.com/spreadsheets/d/11923uPwbBZFjjGgGUA6NLw09EwE0CqkOc4q9oUmW1yo/edit?usp=sharing"",""เชียงใหม่!J27"")"),50)</f>
        <v>50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IFERROR(__xludf.DUMMYFUNCTION("IMPORTRANGE(""https://docs.google.com/spreadsheets/d/11923uPwbBZFjjGgGUA6NLw09EwE0CqkOc4q9oUmW1yo/edit?usp=sharing"",""เชียงใหม่!I28"")"),1)</f>
        <v>1</v>
      </c>
      <c r="J88" s="203">
        <f ca="1">IFERROR(__xludf.DUMMYFUNCTION("IMPORTRANGE(""https://docs.google.com/spreadsheets/d/11923uPwbBZFjjGgGUA6NLw09EwE0CqkOc4q9oUmW1yo/edit?usp=sharing"",""เชียงใหม่!J28"")"),1)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IFERROR(__xludf.DUMMYFUNCTION("IMPORTRANGE(""https://docs.google.com/spreadsheets/d/11923uPwbBZFjjGgGUA6NLw09EwE0CqkOc4q9oUmW1yo/edit?usp=sharing"",""เชียงใหม่!J29"")"),0)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IFERROR(__xludf.DUMMYFUNCTION("IMPORTRANGE(""https://docs.google.com/spreadsheets/d/11923uPwbBZFjjGgGUA6NLw09EwE0CqkOc4q9oUmW1yo/edit?usp=sharing"",""เชียงใหม่!J30"")"),0)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IFERROR(__xludf.DUMMYFUNCTION("IMPORTRANGE(""https://docs.google.com/spreadsheets/d/11923uPwbBZFjjGgGUA6NLw09EwE0CqkOc4q9oUmW1yo/edit?usp=sharing"",""เชียงใหม่!I32"")"),4)</f>
        <v>4</v>
      </c>
      <c r="J92" s="142">
        <f ca="1">IFERROR(__xludf.DUMMYFUNCTION("IMPORTRANGE(""https://docs.google.com/spreadsheets/d/11923uPwbBZFjjGgGUA6NLw09EwE0CqkOc4q9oUmW1yo/edit?usp=sharing"",""เชียงใหม่!J32"")"),4)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IFERROR(__xludf.DUMMYFUNCTION("IMPORTRANGE(""https://docs.google.com/spreadsheets/d/11923uPwbBZFjjGgGUA6NLw09EwE0CqkOc4q9oUmW1yo/edit?usp=sharing"",""เชียงใหม่!I33"")"),1)</f>
        <v>1</v>
      </c>
      <c r="J93" s="142">
        <f ca="1">IFERROR(__xludf.DUMMYFUNCTION("IMPORTRANGE(""https://docs.google.com/spreadsheets/d/11923uPwbBZFjjGgGUA6NLw09EwE0CqkOc4q9oUmW1yo/edit?usp=sharing"",""เชียงใหม่!J33"")"),1)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167344</v>
      </c>
      <c r="O94" s="151">
        <f t="shared" ref="O94:O96" ca="1" si="53">IF(L94&gt;0,N94*100/L94,0)</f>
        <v>78.015850815850811</v>
      </c>
      <c r="P94" s="151">
        <f t="shared" ref="P94:P96" ca="1" si="54">IF(M94&gt;0,N94*100/M94,0)</f>
        <v>78.015850815850811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167344</v>
      </c>
      <c r="O96" s="156">
        <f t="shared" ca="1" si="53"/>
        <v>78.015850815850811</v>
      </c>
      <c r="P96" s="156">
        <f t="shared" ca="1" si="54"/>
        <v>78.015850815850811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IFERROR(__xludf.DUMMYFUNCTION("IMPORTRANGE(""https://docs.google.com/spreadsheets/d/1Yj_ptqi66GCucihVvJfMjLAmec39IyEx_6qawtMGysU/edit?usp=sharing"",""สบก!AR22"")"),122100)</f>
        <v>122100</v>
      </c>
      <c r="N98" s="168">
        <f ca="1">IFERROR(__xludf.DUMMYFUNCTION("IMPORTRANGE(""https://docs.google.com/spreadsheets/d/1Yj_ptqi66GCucihVvJfMjLAmec39IyEx_6qawtMGysU/edit?usp=sharing"",""สบก!AS22"")"),74944)</f>
        <v>74944</v>
      </c>
      <c r="O98" s="168">
        <f ca="1">IF(L98&gt;0,N98*100/L98,0)</f>
        <v>61.379197379197379</v>
      </c>
      <c r="P98" s="168">
        <f ca="1">IF(M98&gt;0,N98*100/M98,0)</f>
        <v>61.379197379197379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IFERROR(__xludf.DUMMYFUNCTION("IMPORTRANGE(""https://docs.google.com/spreadsheets/d/1Yj_ptqi66GCucihVvJfMjLAmec39IyEx_6qawtMGysU/edit?usp=sharing"",""สบก!AN22"")"),0)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IFERROR(__xludf.DUMMYFUNCTION("IMPORTRANGE(""https://docs.google.com/spreadsheets/d/1Yj_ptqi66GCucihVvJfMjLAmec39IyEx_6qawtMGysU/edit?usp=sharing"",""สบก!AO22"")"),122100)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IFERROR(__xludf.DUMMYFUNCTION("IMPORTRANGE(""https://docs.google.com/spreadsheets/d/1Yj_ptqi66GCucihVvJfMjLAmec39IyEx_6qawtMGysU/edit?usp=sharing"",""สบก!AP22"")"),92400)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IFERROR(__xludf.DUMMYFUNCTION("IMPORTRANGE(""https://docs.google.com/spreadsheets/d/1Yj_ptqi66GCucihVvJfMjLAmec39IyEx_6qawtMGysU/edit?usp=sharing"",""สบก!AT22"")"),92400)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IFERROR(__xludf.DUMMYFUNCTION("IMPORTRANGE(""https://docs.google.com/spreadsheets/d/11923uPwbBZFjjGgGUA6NLw09EwE0CqkOc4q9oUmW1yo/edit?usp=sharing"",""เชียงใหม่!J39"")"),0)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IFERROR(__xludf.DUMMYFUNCTION("IMPORTRANGE(""https://docs.google.com/spreadsheets/d/11923uPwbBZFjjGgGUA6NLw09EwE0CqkOc4q9oUmW1yo/edit?usp=sharing"",""เชียงใหม่!J40"")"),1)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IFERROR(__xludf.DUMMYFUNCTION("IMPORTRANGE(""https://docs.google.com/spreadsheets/d/11923uPwbBZFjjGgGUA6NLw09EwE0CqkOc4q9oUmW1yo/edit?usp=sharing"",""เชียงใหม่!J41"")"),1)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IFERROR(__xludf.DUMMYFUNCTION("IMPORTRANGE(""https://docs.google.com/spreadsheets/d/11923uPwbBZFjjGgGUA6NLw09EwE0CqkOc4q9oUmW1yo/edit?usp=sharing"",""เชียงใหม่!J42"")"),1)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IFERROR(__xludf.DUMMYFUNCTION("IMPORTRANGE(""https://docs.google.com/spreadsheets/d/11923uPwbBZFjjGgGUA6NLw09EwE0CqkOc4q9oUmW1yo/edit?usp=sharing"",""เชียงใหม่!I43"")"),1)</f>
        <v>1</v>
      </c>
      <c r="J108" s="203">
        <f ca="1">IFERROR(__xludf.DUMMYFUNCTION("IMPORTRANGE(""https://docs.google.com/spreadsheets/d/11923uPwbBZFjjGgGUA6NLw09EwE0CqkOc4q9oUmW1yo/edit?usp=sharing"",""เชียงใหม่!J43"")"),1)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IFERROR(__xludf.DUMMYFUNCTION("IMPORTRANGE(""https://docs.google.com/spreadsheets/d/11923uPwbBZFjjGgGUA6NLw09EwE0CqkOc4q9oUmW1yo/edit?usp=sharing"",""เชียงใหม่!I44"")"),4)</f>
        <v>4</v>
      </c>
      <c r="J109" s="203">
        <f ca="1">IFERROR(__xludf.DUMMYFUNCTION("IMPORTRANGE(""https://docs.google.com/spreadsheets/d/11923uPwbBZFjjGgGUA6NLw09EwE0CqkOc4q9oUmW1yo/edit?usp=sharing"",""เชียงใหม่!J44"")"),4)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IFERROR(__xludf.DUMMYFUNCTION("IMPORTRANGE(""https://docs.google.com/spreadsheets/d/11923uPwbBZFjjGgGUA6NLw09EwE0CqkOc4q9oUmW1yo/edit?usp=sharing"",""เชียงใหม่!I45"")"),4)</f>
        <v>4</v>
      </c>
      <c r="J110" s="203">
        <f ca="1">IFERROR(__xludf.DUMMYFUNCTION("IMPORTRANGE(""https://docs.google.com/spreadsheets/d/11923uPwbBZFjjGgGUA6NLw09EwE0CqkOc4q9oUmW1yo/edit?usp=sharing"",""เชียงใหม่!J45"")"),4)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IFERROR(__xludf.DUMMYFUNCTION("IMPORTRANGE(""https://docs.google.com/spreadsheets/d/11923uPwbBZFjjGgGUA6NLw09EwE0CqkOc4q9oUmW1yo/edit?usp=sharing"",""เชียงใหม่!I46"")"),4)</f>
        <v>4</v>
      </c>
      <c r="J111" s="203">
        <f ca="1">IFERROR(__xludf.DUMMYFUNCTION("IMPORTRANGE(""https://docs.google.com/spreadsheets/d/11923uPwbBZFjjGgGUA6NLw09EwE0CqkOc4q9oUmW1yo/edit?usp=sharing"",""เชียงใหม่!J46"")"),4)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IFERROR(__xludf.DUMMYFUNCTION("IMPORTRANGE(""https://docs.google.com/spreadsheets/d/11923uPwbBZFjjGgGUA6NLw09EwE0CqkOc4q9oUmW1yo/edit?usp=sharing"",""เชียงใหม่!I47"")"),4)</f>
        <v>4</v>
      </c>
      <c r="J112" s="203">
        <f ca="1">IFERROR(__xludf.DUMMYFUNCTION("IMPORTRANGE(""https://docs.google.com/spreadsheets/d/11923uPwbBZFjjGgGUA6NLw09EwE0CqkOc4q9oUmW1yo/edit?usp=sharing"",""เชียงใหม่!J47"")"),4)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IFERROR(__xludf.DUMMYFUNCTION("IMPORTRANGE(""https://docs.google.com/spreadsheets/d/11923uPwbBZFjjGgGUA6NLw09EwE0CqkOc4q9oUmW1yo/edit?usp=sharing"",""เชียงใหม่!I48"")"),1)</f>
        <v>1</v>
      </c>
      <c r="J113" s="203">
        <f ca="1">IFERROR(__xludf.DUMMYFUNCTION("IMPORTRANGE(""https://docs.google.com/spreadsheets/d/11923uPwbBZFjjGgGUA6NLw09EwE0CqkOc4q9oUmW1yo/edit?usp=sharing"",""เชียงใหม่!J48"")"),1)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IFERROR(__xludf.DUMMYFUNCTION("IMPORTRANGE(""https://docs.google.com/spreadsheets/d/11923uPwbBZFjjGgGUA6NLw09EwE0CqkOc4q9oUmW1yo/edit?usp=sharing"",""เชียงใหม่!J49"")"),0)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IFERROR(__xludf.DUMMYFUNCTION("IMPORTRANGE(""https://docs.google.com/spreadsheets/d/11923uPwbBZFjjGgGUA6NLw09EwE0CqkOc4q9oUmW1yo/edit?usp=sharing"",""เชียงใหม่!J50"")"),0)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IFERROR(__xludf.DUMMYFUNCTION("IMPORTRANGE(""https://docs.google.com/spreadsheets/d/11923uPwbBZFjjGgGUA6NLw09EwE0CqkOc4q9oUmW1yo/edit?usp=sharing"",""เชียงใหม่!I52"")"),0)</f>
        <v>0</v>
      </c>
      <c r="J117" s="142">
        <f ca="1">IFERROR(__xludf.DUMMYFUNCTION("IMPORTRANGE(""https://docs.google.com/spreadsheets/d/11923uPwbBZFjjGgGUA6NLw09EwE0CqkOc4q9oUmW1yo/edit?usp=sharing"",""เชียงใหม่!J52"")"),0)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IFERROR(__xludf.DUMMYFUNCTION("IMPORTRANGE(""https://docs.google.com/spreadsheets/d/1Yj_ptqi66GCucihVvJfMjLAmec39IyEx_6qawtMGysU/edit?usp=sharing"",""สบก!BA22"")"),0)</f>
        <v>0</v>
      </c>
      <c r="N122" s="168">
        <f ca="1">IFERROR(__xludf.DUMMYFUNCTION("IMPORTRANGE(""https://docs.google.com/spreadsheets/d/1Yj_ptqi66GCucihVvJfMjLAmec39IyEx_6qawtMGysU/edit?usp=sharing"",""สบก!BB22"")"),0)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IFERROR(__xludf.DUMMYFUNCTION("IMPORTRANGE(""https://docs.google.com/spreadsheets/d/1Yj_ptqi66GCucihVvJfMjLAmec39IyEx_6qawtMGysU/edit?usp=sharing"",""สบก!AW22"")"),0)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IFERROR(__xludf.DUMMYFUNCTION("IMPORTRANGE(""https://docs.google.com/spreadsheets/d/1Yj_ptqi66GCucihVvJfMjLAmec39IyEx_6qawtMGysU/edit?usp=sharing"",""สบก!AX22"")"),0)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IFERROR(__xludf.DUMMYFUNCTION("IMPORTRANGE(""https://docs.google.com/spreadsheets/d/1Yj_ptqi66GCucihVvJfMjLAmec39IyEx_6qawtMGysU/edit?usp=sharing"",""สบก!AY22"")"),0)</f>
        <v>0</v>
      </c>
      <c r="M126" s="50"/>
      <c r="N126" s="50">
        <f ca="1">IFERROR(__xludf.DUMMYFUNCTION("IMPORTRANGE(""https://docs.google.com/spreadsheets/d/1Yj_ptqi66GCucihVvJfMjLAmec39IyEx_6qawtMGysU/edit?usp=sharing"",""สบก!BC22"")"),0)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IFERROR(__xludf.DUMMYFUNCTION("IMPORTRANGE(""https://docs.google.com/spreadsheets/d/11923uPwbBZFjjGgGUA6NLw09EwE0CqkOc4q9oUmW1yo/edit?usp=sharing"",""เชียงใหม่!J58"")"),0)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IFERROR(__xludf.DUMMYFUNCTION("IMPORTRANGE(""https://docs.google.com/spreadsheets/d/11923uPwbBZFjjGgGUA6NLw09EwE0CqkOc4q9oUmW1yo/edit?usp=sharing"",""เชียงใหม่!J59"")"),0)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IFERROR(__xludf.DUMMYFUNCTION("IMPORTRANGE(""https://docs.google.com/spreadsheets/d/11923uPwbBZFjjGgGUA6NLw09EwE0CqkOc4q9oUmW1yo/edit?usp=sharing"",""เชียงใหม่!J60"")"),0)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IFERROR(__xludf.DUMMYFUNCTION("IMPORTRANGE(""https://docs.google.com/spreadsheets/d/11923uPwbBZFjjGgGUA6NLw09EwE0CqkOc4q9oUmW1yo/edit?usp=sharing"",""เชียงใหม่!J61"")"),0)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IFERROR(__xludf.DUMMYFUNCTION("IMPORTRANGE(""https://docs.google.com/spreadsheets/d/11923uPwbBZFjjGgGUA6NLw09EwE0CqkOc4q9oUmW1yo/edit?usp=sharing"",""เชียงใหม่!I62"")"),0)</f>
        <v>0</v>
      </c>
      <c r="J132" s="203">
        <f ca="1">IFERROR(__xludf.DUMMYFUNCTION("IMPORTRANGE(""https://docs.google.com/spreadsheets/d/11923uPwbBZFjjGgGUA6NLw09EwE0CqkOc4q9oUmW1yo/edit?usp=sharing"",""เชียงใหม่!J62"")"),0)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IFERROR(__xludf.DUMMYFUNCTION("IMPORTRANGE(""https://docs.google.com/spreadsheets/d/11923uPwbBZFjjGgGUA6NLw09EwE0CqkOc4q9oUmW1yo/edit?usp=sharing"",""เชียงใหม่!I63"")"),0)</f>
        <v>0</v>
      </c>
      <c r="J133" s="203">
        <f ca="1">IFERROR(__xludf.DUMMYFUNCTION("IMPORTRANGE(""https://docs.google.com/spreadsheets/d/11923uPwbBZFjjGgGUA6NLw09EwE0CqkOc4q9oUmW1yo/edit?usp=sharing"",""เชียงใหม่!J63"")"),0)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IFERROR(__xludf.DUMMYFUNCTION("IMPORTRANGE(""https://docs.google.com/spreadsheets/d/11923uPwbBZFjjGgGUA6NLw09EwE0CqkOc4q9oUmW1yo/edit?usp=sharing"",""เชียงใหม่!J64"")"),0)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IFERROR(__xludf.DUMMYFUNCTION("IMPORTRANGE(""https://docs.google.com/spreadsheets/d/11923uPwbBZFjjGgGUA6NLw09EwE0CqkOc4q9oUmW1yo/edit?usp=sharing"",""เชียงใหม่!J65"")"),0)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IFERROR(__xludf.DUMMYFUNCTION("IMPORTRANGE(""https://docs.google.com/spreadsheets/d/11923uPwbBZFjjGgGUA6NLw09EwE0CqkOc4q9oUmW1yo/edit?usp=sharing"",""เชียงใหม่!I68"")"),100)</f>
        <v>100</v>
      </c>
      <c r="J138" s="267">
        <f ca="1">IFERROR(__xludf.DUMMYFUNCTION("IMPORTRANGE(""https://docs.google.com/spreadsheets/d/11923uPwbBZFjjGgGUA6NLw09EwE0CqkOc4q9oUmW1yo/edit?usp=sharing"",""เชียงใหม่!J68"")"),100)</f>
        <v>100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891700</v>
      </c>
      <c r="M140" s="152">
        <f t="shared" ca="1" si="64"/>
        <v>941050</v>
      </c>
      <c r="N140" s="152">
        <f t="shared" ca="1" si="64"/>
        <v>608483.1</v>
      </c>
      <c r="O140" s="151">
        <f t="shared" ref="O140:O142" ca="1" si="65">IF(L140&gt;0,N140*100/L140,0)</f>
        <v>68.238544353482112</v>
      </c>
      <c r="P140" s="151">
        <f t="shared" ref="P140:P142" ca="1" si="66">IF(M140&gt;0,N140*100/M140,0)</f>
        <v>64.660018064927471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891700</v>
      </c>
      <c r="M142" s="88">
        <f t="shared" ca="1" si="68"/>
        <v>941050</v>
      </c>
      <c r="N142" s="88">
        <f t="shared" ca="1" si="68"/>
        <v>608483.1</v>
      </c>
      <c r="O142" s="156">
        <f t="shared" ca="1" si="65"/>
        <v>68.238544353482112</v>
      </c>
      <c r="P142" s="156">
        <f t="shared" ca="1" si="66"/>
        <v>64.660018064927471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891700</v>
      </c>
      <c r="M144" s="167">
        <f ca="1">IFERROR(__xludf.DUMMYFUNCTION("IMPORTRANGE(""https://docs.google.com/spreadsheets/d/1Yj_ptqi66GCucihVvJfMjLAmec39IyEx_6qawtMGysU/edit?usp=sharing"",""สบก!BJ22"")"),941050)</f>
        <v>941050</v>
      </c>
      <c r="N144" s="168">
        <f ca="1">IFERROR(__xludf.DUMMYFUNCTION("IMPORTRANGE(""https://docs.google.com/spreadsheets/d/1Yj_ptqi66GCucihVvJfMjLAmec39IyEx_6qawtMGysU/edit?usp=sharing"",""สบก!BK22"")"),608483.1)</f>
        <v>608483.1</v>
      </c>
      <c r="O144" s="168">
        <f ca="1">IF(L144&gt;0,N144*100/L144,0)</f>
        <v>68.238544353482112</v>
      </c>
      <c r="P144" s="168">
        <f ca="1">IF(M144&gt;0,N144*100/M144,0)</f>
        <v>64.660018064927471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IFERROR(__xludf.DUMMYFUNCTION("IMPORTRANGE(""https://docs.google.com/spreadsheets/d/1Yj_ptqi66GCucihVvJfMjLAmec39IyEx_6qawtMGysU/edit?usp=sharing"",""สบก!BF22"")"),331400)</f>
        <v>331400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IFERROR(__xludf.DUMMYFUNCTION("IMPORTRANGE(""https://docs.google.com/spreadsheets/d/1Yj_ptqi66GCucihVvJfMjLAmec39IyEx_6qawtMGysU/edit?usp=sharing"",""สบก!BG22"")"),560300)</f>
        <v>560300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IFERROR(__xludf.DUMMYFUNCTION("IMPORTRANGE(""https://docs.google.com/spreadsheets/d/1Yj_ptqi66GCucihVvJfMjLAmec39IyEx_6qawtMGysU/edit?usp=sharing"",""สบก!BH22"")"),0)</f>
        <v>0</v>
      </c>
      <c r="M148" s="50"/>
      <c r="N148" s="50">
        <f ca="1">IFERROR(__xludf.DUMMYFUNCTION("IMPORTRANGE(""https://docs.google.com/spreadsheets/d/1Yj_ptqi66GCucihVvJfMjLAmec39IyEx_6qawtMGysU/edit?usp=sharing"",""สบก!BL22"")"),0)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IFERROR(__xludf.DUMMYFUNCTION("IMPORTRANGE(""https://docs.google.com/spreadsheets/d/11923uPwbBZFjjGgGUA6NLw09EwE0CqkOc4q9oUmW1yo/edit?usp=sharing"",""เชียงใหม่!I74"")"),4)</f>
        <v>4</v>
      </c>
      <c r="J149" s="275">
        <f ca="1">IFERROR(__xludf.DUMMYFUNCTION("IMPORTRANGE(""https://docs.google.com/spreadsheets/d/11923uPwbBZFjjGgGUA6NLw09EwE0CqkOc4q9oUmW1yo/edit?usp=sharing"",""เชียงใหม่!J74"")"),3)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IFERROR(__xludf.DUMMYFUNCTION("IMPORTRANGE(""https://docs.google.com/spreadsheets/d/11923uPwbBZFjjGgGUA6NLw09EwE0CqkOc4q9oUmW1yo/edit?usp=sharing"",""เชียงใหม่!J79"")"),0)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IFERROR(__xludf.DUMMYFUNCTION("IMPORTRANGE(""https://docs.google.com/spreadsheets/d/11923uPwbBZFjjGgGUA6NLw09EwE0CqkOc4q9oUmW1yo/edit?usp=sharing"",""เชียงใหม่!J80"")"),1)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IFERROR(__xludf.DUMMYFUNCTION("IMPORTRANGE(""https://docs.google.com/spreadsheets/d/11923uPwbBZFjjGgGUA6NLw09EwE0CqkOc4q9oUmW1yo/edit?usp=sharing"",""เชียงใหม่!J81"")"),1)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IFERROR(__xludf.DUMMYFUNCTION("IMPORTRANGE(""https://docs.google.com/spreadsheets/d/11923uPwbBZFjjGgGUA6NLw09EwE0CqkOc4q9oUmW1yo/edit?usp=sharing"",""เชียงใหม่!J82"")"),1)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IFERROR(__xludf.DUMMYFUNCTION("IMPORTRANGE(""https://docs.google.com/spreadsheets/d/11923uPwbBZFjjGgGUA6NLw09EwE0CqkOc4q9oUmW1yo/edit?usp=sharing"",""เชียงใหม่!I83"")"),4)</f>
        <v>4</v>
      </c>
      <c r="J158" s="188">
        <f ca="1">IFERROR(__xludf.DUMMYFUNCTION("IMPORTRANGE(""https://docs.google.com/spreadsheets/d/11923uPwbBZFjjGgGUA6NLw09EwE0CqkOc4q9oUmW1yo/edit?usp=sharing"",""เชียงใหม่!J83"")"),3)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IFERROR(__xludf.DUMMYFUNCTION("IMPORTRANGE(""https://docs.google.com/spreadsheets/d/11923uPwbBZFjjGgGUA6NLw09EwE0CqkOc4q9oUmW1yo/edit?usp=sharing"",""เชียงใหม่!J84"")"),88)</f>
        <v>88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IFERROR(__xludf.DUMMYFUNCTION("IMPORTRANGE(""https://docs.google.com/spreadsheets/d/11923uPwbBZFjjGgGUA6NLw09EwE0CqkOc4q9oUmW1yo/edit?usp=sharing"",""เชียงใหม่!J85"")"),88)</f>
        <v>88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IFERROR(__xludf.DUMMYFUNCTION("IMPORTRANGE(""https://docs.google.com/spreadsheets/d/11923uPwbBZFjjGgGUA6NLw09EwE0CqkOc4q9oUmW1yo/edit?usp=sharing"",""เชียงใหม่!J86"")"),0)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IFERROR(__xludf.DUMMYFUNCTION("IMPORTRANGE(""https://docs.google.com/spreadsheets/d/11923uPwbBZFjjGgGUA6NLw09EwE0CqkOc4q9oUmW1yo/edit?usp=sharing"",""เชียงใหม่!J87"")"),0)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IFERROR(__xludf.DUMMYFUNCTION("IMPORTRANGE(""https://docs.google.com/spreadsheets/d/11923uPwbBZFjjGgGUA6NLw09EwE0CqkOc4q9oUmW1yo/edit?usp=sharing"",""เชียงใหม่!J88"")"),0)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IFERROR(__xludf.DUMMYFUNCTION("IMPORTRANGE(""https://docs.google.com/spreadsheets/d/11923uPwbBZFjjGgGUA6NLw09EwE0CqkOc4q9oUmW1yo/edit?usp=sharing"",""เชียงใหม่!I89"")"),2)</f>
        <v>2</v>
      </c>
      <c r="J164" s="284">
        <f ca="1">IFERROR(__xludf.DUMMYFUNCTION("IMPORTRANGE(""https://docs.google.com/spreadsheets/d/11923uPwbBZFjjGgGUA6NLw09EwE0CqkOc4q9oUmW1yo/edit?usp=sharing"",""เชียงใหม่!J89"")"),2)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IFERROR(__xludf.DUMMYFUNCTION("IMPORTRANGE(""https://docs.google.com/spreadsheets/d/11923uPwbBZFjjGgGUA6NLw09EwE0CqkOc4q9oUmW1yo/edit?usp=sharing"",""เชียงใหม่!J94"")"),0)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IFERROR(__xludf.DUMMYFUNCTION("IMPORTRANGE(""https://docs.google.com/spreadsheets/d/11923uPwbBZFjjGgGUA6NLw09EwE0CqkOc4q9oUmW1yo/edit?usp=sharing"",""เชียงใหม่!J95"")"),1)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IFERROR(__xludf.DUMMYFUNCTION("IMPORTRANGE(""https://docs.google.com/spreadsheets/d/11923uPwbBZFjjGgGUA6NLw09EwE0CqkOc4q9oUmW1yo/edit?usp=sharing"",""เชียงใหม่!J96"")"),1)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IFERROR(__xludf.DUMMYFUNCTION("IMPORTRANGE(""https://docs.google.com/spreadsheets/d/11923uPwbBZFjjGgGUA6NLw09EwE0CqkOc4q9oUmW1yo/edit?usp=sharing"",""เชียงใหม่!J97"")"),1)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IFERROR(__xludf.DUMMYFUNCTION("IMPORTRANGE(""https://docs.google.com/spreadsheets/d/11923uPwbBZFjjGgGUA6NLw09EwE0CqkOc4q9oUmW1yo/edit?usp=sharing"",""เชียงใหม่!I98"")"),2)</f>
        <v>2</v>
      </c>
      <c r="J173" s="188">
        <f ca="1">IFERROR(__xludf.DUMMYFUNCTION("IMPORTRANGE(""https://docs.google.com/spreadsheets/d/11923uPwbBZFjjGgGUA6NLw09EwE0CqkOc4q9oUmW1yo/edit?usp=sharing"",""เชียงใหม่!J98"")"),2)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IFERROR(__xludf.DUMMYFUNCTION("IMPORTRANGE(""https://docs.google.com/spreadsheets/d/11923uPwbBZFjjGgGUA6NLw09EwE0CqkOc4q9oUmW1yo/edit?usp=sharing"",""เชียงใหม่!J99"")"),0)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IFERROR(__xludf.DUMMYFUNCTION("IMPORTRANGE(""https://docs.google.com/spreadsheets/d/11923uPwbBZFjjGgGUA6NLw09EwE0CqkOc4q9oUmW1yo/edit?usp=sharing"",""เชียงใหม่!J100"")"),0)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IFERROR(__xludf.DUMMYFUNCTION("IMPORTRANGE(""https://docs.google.com/spreadsheets/d/11923uPwbBZFjjGgGUA6NLw09EwE0CqkOc4q9oUmW1yo/edit?usp=sharing"",""เชียงใหม่!I101"")"),1)</f>
        <v>1</v>
      </c>
      <c r="J176" s="284">
        <f ca="1">IFERROR(__xludf.DUMMYFUNCTION("IMPORTRANGE(""https://docs.google.com/spreadsheets/d/11923uPwbBZFjjGgGUA6NLw09EwE0CqkOc4q9oUmW1yo/edit?usp=sharing"",""เชียงใหม่!J101"")"),1)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IFERROR(__xludf.DUMMYFUNCTION("IMPORTRANGE(""https://docs.google.com/spreadsheets/d/11923uPwbBZFjjGgGUA6NLw09EwE0CqkOc4q9oUmW1yo/edit?usp=sharing"",""เชียงใหม่!J106"")"),0)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IFERROR(__xludf.DUMMYFUNCTION("IMPORTRANGE(""https://docs.google.com/spreadsheets/d/11923uPwbBZFjjGgGUA6NLw09EwE0CqkOc4q9oUmW1yo/edit?usp=sharing"",""เชียงใหม่!J107"")"),0)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IFERROR(__xludf.DUMMYFUNCTION("IMPORTRANGE(""https://docs.google.com/spreadsheets/d/11923uPwbBZFjjGgGUA6NLw09EwE0CqkOc4q9oUmW1yo/edit?usp=sharing"",""เชียงใหม่!J108"")"),1)</f>
        <v>1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IFERROR(__xludf.DUMMYFUNCTION("IMPORTRANGE(""https://docs.google.com/spreadsheets/d/11923uPwbBZFjjGgGUA6NLw09EwE0CqkOc4q9oUmW1yo/edit?usp=sharing"",""เชียงใหม่!J109"")"),1)</f>
        <v>1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IFERROR(__xludf.DUMMYFUNCTION("IMPORTRANGE(""https://docs.google.com/spreadsheets/d/11923uPwbBZFjjGgGUA6NLw09EwE0CqkOc4q9oUmW1yo/edit?usp=sharing"",""เชียงใหม่!I110"")"),1)</f>
        <v>1</v>
      </c>
      <c r="J185" s="203">
        <f ca="1">IFERROR(__xludf.DUMMYFUNCTION("IMPORTRANGE(""https://docs.google.com/spreadsheets/d/11923uPwbBZFjjGgGUA6NLw09EwE0CqkOc4q9oUmW1yo/edit?usp=sharing"",""เชียงใหม่!J110"")"),1)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IFERROR(__xludf.DUMMYFUNCTION("IMPORTRANGE(""https://docs.google.com/spreadsheets/d/11923uPwbBZFjjGgGUA6NLw09EwE0CqkOc4q9oUmW1yo/edit?usp=sharing"",""เชียงใหม่!I111"")"),1)</f>
        <v>1</v>
      </c>
      <c r="J186" s="203">
        <f ca="1">IFERROR(__xludf.DUMMYFUNCTION("IMPORTRANGE(""https://docs.google.com/spreadsheets/d/11923uPwbBZFjjGgGUA6NLw09EwE0CqkOc4q9oUmW1yo/edit?usp=sharing"",""เชียงใหม่!J111"")"),1)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IFERROR(__xludf.DUMMYFUNCTION("IMPORTRANGE(""https://docs.google.com/spreadsheets/d/11923uPwbBZFjjGgGUA6NLw09EwE0CqkOc4q9oUmW1yo/edit?usp=sharing"",""เชียงใหม่!J112"")"),1)</f>
        <v>1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IFERROR(__xludf.DUMMYFUNCTION("IMPORTRANGE(""https://docs.google.com/spreadsheets/d/11923uPwbBZFjjGgGUA6NLw09EwE0CqkOc4q9oUmW1yo/edit?usp=sharing"",""เชียงใหม่!J113"")"),1)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IFERROR(__xludf.DUMMYFUNCTION("IMPORTRANGE(""https://docs.google.com/spreadsheets/d/11923uPwbBZFjjGgGUA6NLw09EwE0CqkOc4q9oUmW1yo/edit?usp=sharing"",""เชียงใหม่!I114"")"),16000)</f>
        <v>16000</v>
      </c>
      <c r="J189" s="284">
        <f ca="1">IFERROR(__xludf.DUMMYFUNCTION("IMPORTRANGE(""https://docs.google.com/spreadsheets/d/11923uPwbBZFjjGgGUA6NLw09EwE0CqkOc4q9oUmW1yo/edit?usp=sharing"",""เชียงใหม่!J114"")"),0)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IFERROR(__xludf.DUMMYFUNCTION("IMPORTRANGE(""https://docs.google.com/spreadsheets/d/11923uPwbBZFjjGgGUA6NLw09EwE0CqkOc4q9oUmW1yo/edit?usp=sharing"",""เชียงใหม่!J119"")"),0)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IFERROR(__xludf.DUMMYFUNCTION("IMPORTRANGE(""https://docs.google.com/spreadsheets/d/11923uPwbBZFjjGgGUA6NLw09EwE0CqkOc4q9oUmW1yo/edit?usp=sharing"",""เชียงใหม่!J120"")"),1)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IFERROR(__xludf.DUMMYFUNCTION("IMPORTRANGE(""https://docs.google.com/spreadsheets/d/11923uPwbBZFjjGgGUA6NLw09EwE0CqkOc4q9oUmW1yo/edit?usp=sharing"",""เชียงใหม่!J121"")"),1)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IFERROR(__xludf.DUMMYFUNCTION("IMPORTRANGE(""https://docs.google.com/spreadsheets/d/11923uPwbBZFjjGgGUA6NLw09EwE0CqkOc4q9oUmW1yo/edit?usp=sharing"",""เชียงใหม่!J122"")"),1)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IFERROR(__xludf.DUMMYFUNCTION("IMPORTRANGE(""https://docs.google.com/spreadsheets/d/11923uPwbBZFjjGgGUA6NLw09EwE0CqkOc4q9oUmW1yo/edit?usp=sharing"",""เชียงใหม่!I124"")"),16000)</f>
        <v>16000</v>
      </c>
      <c r="J199" s="188">
        <f ca="1">IFERROR(__xludf.DUMMYFUNCTION("IMPORTRANGE(""https://docs.google.com/spreadsheets/d/11923uPwbBZFjjGgGUA6NLw09EwE0CqkOc4q9oUmW1yo/edit?usp=sharing"",""เชียงใหม่!J124"")"),16000)</f>
        <v>16000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IFERROR(__xludf.DUMMYFUNCTION("IMPORTRANGE(""https://docs.google.com/spreadsheets/d/11923uPwbBZFjjGgGUA6NLw09EwE0CqkOc4q9oUmW1yo/edit?usp=sharing"",""เชียงใหม่!I125"")"),16000)</f>
        <v>16000</v>
      </c>
      <c r="J200" s="188">
        <f ca="1">IFERROR(__xludf.DUMMYFUNCTION("IMPORTRANGE(""https://docs.google.com/spreadsheets/d/11923uPwbBZFjjGgGUA6NLw09EwE0CqkOc4q9oUmW1yo/edit?usp=sharing"",""เชียงใหม่!J125"")"),0)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IFERROR(__xludf.DUMMYFUNCTION("IMPORTRANGE(""https://docs.google.com/spreadsheets/d/11923uPwbBZFjjGgGUA6NLw09EwE0CqkOc4q9oUmW1yo/edit?usp=sharing"",""เชียงใหม่!I126"")"),0)</f>
        <v>0</v>
      </c>
      <c r="J201" s="188">
        <f ca="1">IFERROR(__xludf.DUMMYFUNCTION("IMPORTRANGE(""https://docs.google.com/spreadsheets/d/11923uPwbBZFjjGgGUA6NLw09EwE0CqkOc4q9oUmW1yo/edit?usp=sharing"",""เชียงใหม่!J126"")"),0)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IFERROR(__xludf.DUMMYFUNCTION("IMPORTRANGE(""https://docs.google.com/spreadsheets/d/11923uPwbBZFjjGgGUA6NLw09EwE0CqkOc4q9oUmW1yo/edit?usp=sharing"",""เชียงใหม่!J127"")"),0)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IFERROR(__xludf.DUMMYFUNCTION("IMPORTRANGE(""https://docs.google.com/spreadsheets/d/11923uPwbBZFjjGgGUA6NLw09EwE0CqkOc4q9oUmW1yo/edit?usp=sharing"",""เชียงใหม่!J128"")"),0)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IFERROR(__xludf.DUMMYFUNCTION("IMPORTRANGE(""https://docs.google.com/spreadsheets/d/11923uPwbBZFjjGgGUA6NLw09EwE0CqkOc4q9oUmW1yo/edit?usp=sharing"",""เชียงใหม่!I129"")"),100)</f>
        <v>100</v>
      </c>
      <c r="J204" s="284">
        <f ca="1">IFERROR(__xludf.DUMMYFUNCTION("IMPORTRANGE(""https://docs.google.com/spreadsheets/d/11923uPwbBZFjjGgGUA6NLw09EwE0CqkOc4q9oUmW1yo/edit?usp=sharing"",""เชียงใหม่!J129"")"),100)</f>
        <v>100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IFERROR(__xludf.DUMMYFUNCTION("IMPORTRANGE(""https://docs.google.com/spreadsheets/d/11923uPwbBZFjjGgGUA6NLw09EwE0CqkOc4q9oUmW1yo/edit?usp=sharing"",""เชียงใหม่!J134"")"),0)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IFERROR(__xludf.DUMMYFUNCTION("IMPORTRANGE(""https://docs.google.com/spreadsheets/d/11923uPwbBZFjjGgGUA6NLw09EwE0CqkOc4q9oUmW1yo/edit?usp=sharing"",""เชียงใหม่!J135"")"),1)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IFERROR(__xludf.DUMMYFUNCTION("IMPORTRANGE(""https://docs.google.com/spreadsheets/d/11923uPwbBZFjjGgGUA6NLw09EwE0CqkOc4q9oUmW1yo/edit?usp=sharing"",""เชียงใหม่!J136"")"),1)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IFERROR(__xludf.DUMMYFUNCTION("IMPORTRANGE(""https://docs.google.com/spreadsheets/d/11923uPwbBZFjjGgGUA6NLw09EwE0CqkOc4q9oUmW1yo/edit?usp=sharing"",""เชียงใหม่!J137"")"),1)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IFERROR(__xludf.DUMMYFUNCTION("IMPORTRANGE(""https://docs.google.com/spreadsheets/d/11923uPwbBZFjjGgGUA6NLw09EwE0CqkOc4q9oUmW1yo/edit?usp=sharing"",""เชียงใหม่!I138"")"),100)</f>
        <v>100</v>
      </c>
      <c r="J213" s="203">
        <f ca="1">IFERROR(__xludf.DUMMYFUNCTION("IMPORTRANGE(""https://docs.google.com/spreadsheets/d/11923uPwbBZFjjGgGUA6NLw09EwE0CqkOc4q9oUmW1yo/edit?usp=sharing"",""เชียงใหม่!J138"")"),100)</f>
        <v>100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IFERROR(__xludf.DUMMYFUNCTION("IMPORTRANGE(""https://docs.google.com/spreadsheets/d/11923uPwbBZFjjGgGUA6NLw09EwE0CqkOc4q9oUmW1yo/edit?usp=sharing"",""เชียงใหม่!I140"")"),0)</f>
        <v>0</v>
      </c>
      <c r="J215" s="203">
        <f ca="1">IFERROR(__xludf.DUMMYFUNCTION("IMPORTRANGE(""https://docs.google.com/spreadsheets/d/11923uPwbBZFjjGgGUA6NLw09EwE0CqkOc4q9oUmW1yo/edit?usp=sharing"",""เชียงใหม่!J140"")"),0)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IFERROR(__xludf.DUMMYFUNCTION("IMPORTRANGE(""https://docs.google.com/spreadsheets/d/11923uPwbBZFjjGgGUA6NLw09EwE0CqkOc4q9oUmW1yo/edit?usp=sharing"",""เชียงใหม่!I141"")"),3)</f>
        <v>3</v>
      </c>
      <c r="J216" s="203">
        <f ca="1">IFERROR(__xludf.DUMMYFUNCTION("IMPORTRANGE(""https://docs.google.com/spreadsheets/d/11923uPwbBZFjjGgGUA6NLw09EwE0CqkOc4q9oUmW1yo/edit?usp=sharing"",""เชียงใหม่!J141"")"),0)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IFERROR(__xludf.DUMMYFUNCTION("IMPORTRANGE(""https://docs.google.com/spreadsheets/d/11923uPwbBZFjjGgGUA6NLw09EwE0CqkOc4q9oUmW1yo/edit?usp=sharing"",""เชียงใหม่!J142"")"),0)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IFERROR(__xludf.DUMMYFUNCTION("IMPORTRANGE(""https://docs.google.com/spreadsheets/d/11923uPwbBZFjjGgGUA6NLw09EwE0CqkOc4q9oUmW1yo/edit?usp=sharing"",""เชียงใหม่!J143"")"),0)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IFERROR(__xludf.DUMMYFUNCTION("IMPORTRANGE(""https://docs.google.com/spreadsheets/d/11923uPwbBZFjjGgGUA6NLw09EwE0CqkOc4q9oUmW1yo/edit?usp=sharing"",""เชียงใหม่!I144"")"),15)</f>
        <v>15</v>
      </c>
      <c r="J219" s="267">
        <f ca="1">IFERROR(__xludf.DUMMYFUNCTION("IMPORTRANGE(""https://docs.google.com/spreadsheets/d/11923uPwbBZFjjGgGUA6NLw09EwE0CqkOc4q9oUmW1yo/edit?usp=sharing"",""เชียงใหม่!J144"")"),15)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IFERROR(__xludf.DUMMYFUNCTION("IMPORTRANGE(""https://docs.google.com/spreadsheets/d/1Yj_ptqi66GCucihVvJfMjLAmec39IyEx_6qawtMGysU/edit?usp=sharing"",""สบก!BS22"")"),21125)</f>
        <v>21125</v>
      </c>
      <c r="N224" s="168">
        <f ca="1">IFERROR(__xludf.DUMMYFUNCTION("IMPORTRANGE(""https://docs.google.com/spreadsheets/d/1Yj_ptqi66GCucihVvJfMjLAmec39IyEx_6qawtMGysU/edit?usp=sharing"",""สบก!BT22"")"),21125)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IFERROR(__xludf.DUMMYFUNCTION("IMPORTRANGE(""https://docs.google.com/spreadsheets/d/1Yj_ptqi66GCucihVvJfMjLAmec39IyEx_6qawtMGysU/edit?usp=sharing"",""สบก!BO22"")"),0)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IFERROR(__xludf.DUMMYFUNCTION("IMPORTRANGE(""https://docs.google.com/spreadsheets/d/1Yj_ptqi66GCucihVvJfMjLAmec39IyEx_6qawtMGysU/edit?usp=sharing"",""สบก!BP22"")"),21125)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IFERROR(__xludf.DUMMYFUNCTION("IMPORTRANGE(""https://docs.google.com/spreadsheets/d/1Yj_ptqi66GCucihVvJfMjLAmec39IyEx_6qawtMGysU/edit?usp=sharing"",""สบก!BQ22"")"),0)</f>
        <v>0</v>
      </c>
      <c r="M228" s="50"/>
      <c r="N228" s="50">
        <f ca="1">IFERROR(__xludf.DUMMYFUNCTION("IMPORTRANGE(""https://docs.google.com/spreadsheets/d/1Yj_ptqi66GCucihVvJfMjLAmec39IyEx_6qawtMGysU/edit?usp=sharing"",""สบก!BU22"")"),0)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IFERROR(__xludf.DUMMYFUNCTION("IMPORTRANGE(""https://docs.google.com/spreadsheets/d/11923uPwbBZFjjGgGUA6NLw09EwE0CqkOc4q9oUmW1yo/edit?usp=sharing"",""เชียงใหม่!I149"")"),15)</f>
        <v>15</v>
      </c>
      <c r="J229" s="267">
        <f ca="1">IFERROR(__xludf.DUMMYFUNCTION("IMPORTRANGE(""https://docs.google.com/spreadsheets/d/11923uPwbBZFjjGgGUA6NLw09EwE0CqkOc4q9oUmW1yo/edit?usp=sharing"",""เชียงใหม่!J149"")"),15)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IFERROR(__xludf.DUMMYFUNCTION("IMPORTRANGE(""https://docs.google.com/spreadsheets/d/11923uPwbBZFjjGgGUA6NLw09EwE0CqkOc4q9oUmW1yo/edit?usp=sharing"",""เชียงใหม่!J151"")"),0)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IFERROR(__xludf.DUMMYFUNCTION("IMPORTRANGE(""https://docs.google.com/spreadsheets/d/11923uPwbBZFjjGgGUA6NLw09EwE0CqkOc4q9oUmW1yo/edit?usp=sharing"",""เชียงใหม่!J152"")"),0)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IFERROR(__xludf.DUMMYFUNCTION("IMPORTRANGE(""https://docs.google.com/spreadsheets/d/11923uPwbBZFjjGgGUA6NLw09EwE0CqkOc4q9oUmW1yo/edit?usp=sharing"",""เชียงใหม่!J153"")"),1)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IFERROR(__xludf.DUMMYFUNCTION("IMPORTRANGE(""https://docs.google.com/spreadsheets/d/11923uPwbBZFjjGgGUA6NLw09EwE0CqkOc4q9oUmW1yo/edit?usp=sharing"",""เชียงใหม่!J154"")"),1)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IFERROR(__xludf.DUMMYFUNCTION("IMPORTRANGE(""https://docs.google.com/spreadsheets/d/11923uPwbBZFjjGgGUA6NLw09EwE0CqkOc4q9oUmW1yo/edit?usp=sharing"",""เชียงใหม่!I155"")"),15)</f>
        <v>15</v>
      </c>
      <c r="J235" s="188">
        <f ca="1">IFERROR(__xludf.DUMMYFUNCTION("IMPORTRANGE(""https://docs.google.com/spreadsheets/d/11923uPwbBZFjjGgGUA6NLw09EwE0CqkOc4q9oUmW1yo/edit?usp=sharing"",""เชียงใหม่!J155"")"),15)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IFERROR(__xludf.DUMMYFUNCTION("IMPORTRANGE(""https://docs.google.com/spreadsheets/d/11923uPwbBZFjjGgGUA6NLw09EwE0CqkOc4q9oUmW1yo/edit?usp=sharing"",""เชียงใหม่!J156"")"),1)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IFERROR(__xludf.DUMMYFUNCTION("IMPORTRANGE(""https://docs.google.com/spreadsheets/d/11923uPwbBZFjjGgGUA6NLw09EwE0CqkOc4q9oUmW1yo/edit?usp=sharing"",""เชียงใหม่!J157"")"),1)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IFERROR(__xludf.DUMMYFUNCTION("IMPORTRANGE(""https://docs.google.com/spreadsheets/d/11923uPwbBZFjjGgGUA6NLw09EwE0CqkOc4q9oUmW1yo/edit?usp=sharing"",""เชียงใหม่!I158"")"),0)</f>
        <v>0</v>
      </c>
      <c r="J238" s="267">
        <f ca="1">IFERROR(__xludf.DUMMYFUNCTION("IMPORTRANGE(""https://docs.google.com/spreadsheets/d/11923uPwbBZFjjGgGUA6NLw09EwE0CqkOc4q9oUmW1yo/edit?usp=sharing"",""เชียงใหม่!J158"")"),0)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IFERROR(__xludf.DUMMYFUNCTION("IMPORTRANGE(""https://docs.google.com/spreadsheets/d/11923uPwbBZFjjGgGUA6NLw09EwE0CqkOc4q9oUmW1yo/edit?usp=sharing"",""เชียงใหม่!J159"")"),"")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IFERROR(__xludf.DUMMYFUNCTION("IMPORTRANGE(""https://docs.google.com/spreadsheets/d/11923uPwbBZFjjGgGUA6NLw09EwE0CqkOc4q9oUmW1yo/edit?usp=sharing"",""เชียงใหม่!J161"")"),0)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IFERROR(__xludf.DUMMYFUNCTION("IMPORTRANGE(""https://docs.google.com/spreadsheets/d/11923uPwbBZFjjGgGUA6NLw09EwE0CqkOc4q9oUmW1yo/edit?usp=sharing"",""เชียงใหม่!J162"")"),0)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IFERROR(__xludf.DUMMYFUNCTION("IMPORTRANGE(""https://docs.google.com/spreadsheets/d/11923uPwbBZFjjGgGUA6NLw09EwE0CqkOc4q9oUmW1yo/edit?usp=sharing"",""เชียงใหม่!J163"")"),0)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IFERROR(__xludf.DUMMYFUNCTION("IMPORTRANGE(""https://docs.google.com/spreadsheets/d/11923uPwbBZFjjGgGUA6NLw09EwE0CqkOc4q9oUmW1yo/edit?usp=sharing"",""เชียงใหม่!I164"")"),0)</f>
        <v>0</v>
      </c>
      <c r="J244" s="187">
        <f ca="1">IFERROR(__xludf.DUMMYFUNCTION("IMPORTRANGE(""https://docs.google.com/spreadsheets/d/11923uPwbBZFjjGgGUA6NLw09EwE0CqkOc4q9oUmW1yo/edit?usp=sharing"",""เชียงใหม่!J164"")"),0)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IFERROR(__xludf.DUMMYFUNCTION("IMPORTRANGE(""https://docs.google.com/spreadsheets/d/11923uPwbBZFjjGgGUA6NLw09EwE0CqkOc4q9oUmW1yo/edit?usp=sharing"",""เชียงใหม่!J165"")"),0)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IFERROR(__xludf.DUMMYFUNCTION("IMPORTRANGE(""https://docs.google.com/spreadsheets/d/11923uPwbBZFjjGgGUA6NLw09EwE0CqkOc4q9oUmW1yo/edit?usp=sharing"",""เชียงใหม่!J166"")"),0)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IFERROR(__xludf.DUMMYFUNCTION("IMPORTRANGE(""https://docs.google.com/spreadsheets/d/11923uPwbBZFjjGgGUA6NLw09EwE0CqkOc4q9oUmW1yo/edit?usp=sharing"",""เชียงใหม่!I169"")"),20)</f>
        <v>20</v>
      </c>
      <c r="J249" s="316">
        <f ca="1">IFERROR(__xludf.DUMMYFUNCTION("IMPORTRANGE(""https://docs.google.com/spreadsheets/d/11923uPwbBZFjjGgGUA6NLw09EwE0CqkOc4q9oUmW1yo/edit?usp=sharing"",""เชียงใหม่!J169"")"),20)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48392</v>
      </c>
      <c r="O250" s="151">
        <f t="shared" ref="O250:O252" ca="1" si="78">IF(L250&gt;0,N250*100/L250,0)</f>
        <v>67.775910364145659</v>
      </c>
      <c r="P250" s="151">
        <f t="shared" ref="P250:P252" ca="1" si="79">IF(M250&gt;0,N250*100/M250,0)</f>
        <v>67.775910364145659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48392</v>
      </c>
      <c r="O252" s="156">
        <f t="shared" ca="1" si="78"/>
        <v>67.775910364145659</v>
      </c>
      <c r="P252" s="156">
        <f t="shared" ca="1" si="79"/>
        <v>67.775910364145659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IFERROR(__xludf.DUMMYFUNCTION("IMPORTRANGE(""https://docs.google.com/spreadsheets/d/1Yj_ptqi66GCucihVvJfMjLAmec39IyEx_6qawtMGysU/edit?usp=sharing"",""สบก!CB22"")"),71400)</f>
        <v>71400</v>
      </c>
      <c r="N254" s="168">
        <f ca="1">IFERROR(__xludf.DUMMYFUNCTION("IMPORTRANGE(""https://docs.google.com/spreadsheets/d/1Yj_ptqi66GCucihVvJfMjLAmec39IyEx_6qawtMGysU/edit?usp=sharing"",""สบก!CC22"")"),48392)</f>
        <v>48392</v>
      </c>
      <c r="O254" s="168">
        <f ca="1">IF(L254&gt;0,N254*100/L254,0)</f>
        <v>67.775910364145659</v>
      </c>
      <c r="P254" s="168">
        <f ca="1">IF(M254&gt;0,N254*100/M254,0)</f>
        <v>67.775910364145659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IFERROR(__xludf.DUMMYFUNCTION("IMPORTRANGE(""https://docs.google.com/spreadsheets/d/1Yj_ptqi66GCucihVvJfMjLAmec39IyEx_6qawtMGysU/edit?usp=sharing"",""สบก!BX22"")"),0)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IFERROR(__xludf.DUMMYFUNCTION("IMPORTRANGE(""https://docs.google.com/spreadsheets/d/1Yj_ptqi66GCucihVvJfMjLAmec39IyEx_6qawtMGysU/edit?usp=sharing"",""สบก!BY22"")"),71400)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IFERROR(__xludf.DUMMYFUNCTION("IMPORTRANGE(""https://docs.google.com/spreadsheets/d/1Yj_ptqi66GCucihVvJfMjLAmec39IyEx_6qawtMGysU/edit?usp=sharing"",""สบก!BZ22"")"),0)</f>
        <v>0</v>
      </c>
      <c r="M258" s="50"/>
      <c r="N258" s="50">
        <f ca="1">IFERROR(__xludf.DUMMYFUNCTION("IMPORTRANGE(""https://docs.google.com/spreadsheets/d/1Yj_ptqi66GCucihVvJfMjLAmec39IyEx_6qawtMGysU/edit?usp=sharing"",""สบก!CD22"")"),0)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IFERROR(__xludf.DUMMYFUNCTION("IMPORTRANGE(""https://docs.google.com/spreadsheets/d/11923uPwbBZFjjGgGUA6NLw09EwE0CqkOc4q9oUmW1yo/edit?usp=sharing"",""เชียงใหม่!J175"")"),0)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IFERROR(__xludf.DUMMYFUNCTION("IMPORTRANGE(""https://docs.google.com/spreadsheets/d/11923uPwbBZFjjGgGUA6NLw09EwE0CqkOc4q9oUmW1yo/edit?usp=sharing"",""เชียงใหม่!J176"")"),1)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IFERROR(__xludf.DUMMYFUNCTION("IMPORTRANGE(""https://docs.google.com/spreadsheets/d/11923uPwbBZFjjGgGUA6NLw09EwE0CqkOc4q9oUmW1yo/edit?usp=sharing"",""เชียงใหม่!J177"")"),1)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IFERROR(__xludf.DUMMYFUNCTION("IMPORTRANGE(""https://docs.google.com/spreadsheets/d/11923uPwbBZFjjGgGUA6NLw09EwE0CqkOc4q9oUmW1yo/edit?usp=sharing"",""เชียงใหม่!J178"")"),1)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IFERROR(__xludf.DUMMYFUNCTION("IMPORTRANGE(""https://docs.google.com/spreadsheets/d/11923uPwbBZFjjGgGUA6NLw09EwE0CqkOc4q9oUmW1yo/edit?usp=sharing"",""เชียงใหม่!I179"")"),1)</f>
        <v>1</v>
      </c>
      <c r="J264" s="188">
        <f ca="1">IFERROR(__xludf.DUMMYFUNCTION("IMPORTRANGE(""https://docs.google.com/spreadsheets/d/11923uPwbBZFjjGgGUA6NLw09EwE0CqkOc4q9oUmW1yo/edit?usp=sharing"",""เชียงใหม่!J179"")"),1)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IFERROR(__xludf.DUMMYFUNCTION("IMPORTRANGE(""https://docs.google.com/spreadsheets/d/11923uPwbBZFjjGgGUA6NLw09EwE0CqkOc4q9oUmW1yo/edit?usp=sharing"",""เชียงใหม่!I180"")"),20)</f>
        <v>20</v>
      </c>
      <c r="J265" s="188">
        <f ca="1">IFERROR(__xludf.DUMMYFUNCTION("IMPORTRANGE(""https://docs.google.com/spreadsheets/d/11923uPwbBZFjjGgGUA6NLw09EwE0CqkOc4q9oUmW1yo/edit?usp=sharing"",""เชียงใหม่!J180"")"),20)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IFERROR(__xludf.DUMMYFUNCTION("IMPORTRANGE(""https://docs.google.com/spreadsheets/d/11923uPwbBZFjjGgGUA6NLw09EwE0CqkOc4q9oUmW1yo/edit?usp=sharing"",""เชียงใหม่!I181"")"),20)</f>
        <v>20</v>
      </c>
      <c r="J266" s="188">
        <f ca="1">IFERROR(__xludf.DUMMYFUNCTION("IMPORTRANGE(""https://docs.google.com/spreadsheets/d/11923uPwbBZFjjGgGUA6NLw09EwE0CqkOc4q9oUmW1yo/edit?usp=sharing"",""เชียงใหม่!J181"")"),0)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IFERROR(__xludf.DUMMYFUNCTION("IMPORTRANGE(""https://docs.google.com/spreadsheets/d/11923uPwbBZFjjGgGUA6NLw09EwE0CqkOc4q9oUmW1yo/edit?usp=sharing"",""เชียงใหม่!I182"")"),1)</f>
        <v>1</v>
      </c>
      <c r="J267" s="188">
        <f ca="1">IFERROR(__xludf.DUMMYFUNCTION("IMPORTRANGE(""https://docs.google.com/spreadsheets/d/11923uPwbBZFjjGgGUA6NLw09EwE0CqkOc4q9oUmW1yo/edit?usp=sharing"",""เชียงใหม่!J182"")"),1)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IFERROR(__xludf.DUMMYFUNCTION("IMPORTRANGE(""https://docs.google.com/spreadsheets/d/11923uPwbBZFjjGgGUA6NLw09EwE0CqkOc4q9oUmW1yo/edit?usp=sharing"",""เชียงใหม่!J183"")"),0)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IFERROR(__xludf.DUMMYFUNCTION("IMPORTRANGE(""https://docs.google.com/spreadsheets/d/11923uPwbBZFjjGgGUA6NLw09EwE0CqkOc4q9oUmW1yo/edit?usp=sharing"",""เชียงใหม่!J184"")"),0)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IFERROR(__xludf.DUMMYFUNCTION("IMPORTRANGE(""https://docs.google.com/spreadsheets/d/11923uPwbBZFjjGgGUA6NLw09EwE0CqkOc4q9oUmW1yo/edit?usp=sharing"",""เชียงใหม่!I185"")"),15)</f>
        <v>15</v>
      </c>
      <c r="J270" s="316">
        <f ca="1">IFERROR(__xludf.DUMMYFUNCTION("IMPORTRANGE(""https://docs.google.com/spreadsheets/d/11923uPwbBZFjjGgGUA6NLw09EwE0CqkOc4q9oUmW1yo/edit?usp=sharing"",""เชียงใหม่!J185"")"),15)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76853.600000000006</v>
      </c>
      <c r="O271" s="151">
        <f t="shared" ref="O271:O273" ca="1" si="84">IF(L271&gt;0,N271*100/L271,0)</f>
        <v>72.709176915799446</v>
      </c>
      <c r="P271" s="151">
        <f t="shared" ref="P271:P273" ca="1" si="85">IF(M271&gt;0,N271*100/M271,0)</f>
        <v>72.709176915799446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105700</v>
      </c>
      <c r="N273" s="88">
        <f t="shared" ca="1" si="87"/>
        <v>76853.600000000006</v>
      </c>
      <c r="O273" s="156">
        <f t="shared" ca="1" si="84"/>
        <v>72.709176915799446</v>
      </c>
      <c r="P273" s="156">
        <f t="shared" ca="1" si="85"/>
        <v>72.709176915799446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IFERROR(__xludf.DUMMYFUNCTION("IMPORTRANGE(""https://docs.google.com/spreadsheets/d/1Yj_ptqi66GCucihVvJfMjLAmec39IyEx_6qawtMGysU/edit?usp=sharing"",""สบก!CK22"")"),105700)</f>
        <v>105700</v>
      </c>
      <c r="N275" s="168">
        <f ca="1">IFERROR(__xludf.DUMMYFUNCTION("IMPORTRANGE(""https://docs.google.com/spreadsheets/d/1Yj_ptqi66GCucihVvJfMjLAmec39IyEx_6qawtMGysU/edit?usp=sharing"",""สบก!CL22"")"),76853.6)</f>
        <v>76853.600000000006</v>
      </c>
      <c r="O275" s="168">
        <f ca="1">IF(L275&gt;0,N275*100/L275,0)</f>
        <v>72.709176915799446</v>
      </c>
      <c r="P275" s="168">
        <f ca="1">IF(M275&gt;0,N275*100/M275,0)</f>
        <v>72.709176915799446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IFERROR(__xludf.DUMMYFUNCTION("IMPORTRANGE(""https://docs.google.com/spreadsheets/d/1Yj_ptqi66GCucihVvJfMjLAmec39IyEx_6qawtMGysU/edit?usp=sharing"",""สบก!CG22"")"),0)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IFERROR(__xludf.DUMMYFUNCTION("IMPORTRANGE(""https://docs.google.com/spreadsheets/d/1Yj_ptqi66GCucihVvJfMjLAmec39IyEx_6qawtMGysU/edit?usp=sharing"",""สบก!CH22"")"),105700)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IFERROR(__xludf.DUMMYFUNCTION("IMPORTRANGE(""https://docs.google.com/spreadsheets/d/1Yj_ptqi66GCucihVvJfMjLAmec39IyEx_6qawtMGysU/edit?usp=sharing"",""สบก!CI22"")"),0)</f>
        <v>0</v>
      </c>
      <c r="M279" s="50"/>
      <c r="N279" s="50">
        <f ca="1">IFERROR(__xludf.DUMMYFUNCTION("IMPORTRANGE(""https://docs.google.com/spreadsheets/d/1Yj_ptqi66GCucihVvJfMjLAmec39IyEx_6qawtMGysU/edit?usp=sharing"",""สบก!CM22"")"),0)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IFERROR(__xludf.DUMMYFUNCTION("IMPORTRANGE(""https://docs.google.com/spreadsheets/d/11923uPwbBZFjjGgGUA6NLw09EwE0CqkOc4q9oUmW1yo/edit?usp=sharing"",""เชียงใหม่!J191"")"),0)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IFERROR(__xludf.DUMMYFUNCTION("IMPORTRANGE(""https://docs.google.com/spreadsheets/d/11923uPwbBZFjjGgGUA6NLw09EwE0CqkOc4q9oUmW1yo/edit?usp=sharing"",""เชียงใหม่!J192"")"),1)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IFERROR(__xludf.DUMMYFUNCTION("IMPORTRANGE(""https://docs.google.com/spreadsheets/d/11923uPwbBZFjjGgGUA6NLw09EwE0CqkOc4q9oUmW1yo/edit?usp=sharing"",""เชียงใหม่!J193"")"),1)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IFERROR(__xludf.DUMMYFUNCTION("IMPORTRANGE(""https://docs.google.com/spreadsheets/d/11923uPwbBZFjjGgGUA6NLw09EwE0CqkOc4q9oUmW1yo/edit?usp=sharing"",""เชียงใหม่!J194"")"),1)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IFERROR(__xludf.DUMMYFUNCTION("IMPORTRANGE(""https://docs.google.com/spreadsheets/d/11923uPwbBZFjjGgGUA6NLw09EwE0CqkOc4q9oUmW1yo/edit?usp=sharing"",""เชียงใหม่!I195"")"),15)</f>
        <v>15</v>
      </c>
      <c r="J285" s="188">
        <f ca="1">IFERROR(__xludf.DUMMYFUNCTION("IMPORTRANGE(""https://docs.google.com/spreadsheets/d/11923uPwbBZFjjGgGUA6NLw09EwE0CqkOc4q9oUmW1yo/edit?usp=sharing"",""เชียงใหม่!J195"")"),15)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IFERROR(__xludf.DUMMYFUNCTION("IMPORTRANGE(""https://docs.google.com/spreadsheets/d/11923uPwbBZFjjGgGUA6NLw09EwE0CqkOc4q9oUmW1yo/edit?usp=sharing"",""เชียงใหม่!J196"")"),0)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IFERROR(__xludf.DUMMYFUNCTION("IMPORTRANGE(""https://docs.google.com/spreadsheets/d/11923uPwbBZFjjGgGUA6NLw09EwE0CqkOc4q9oUmW1yo/edit?usp=sharing"",""เชียงใหม่!J197"")"),0)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IFERROR(__xludf.DUMMYFUNCTION("IMPORTRANGE(""https://docs.google.com/spreadsheets/d/11923uPwbBZFjjGgGUA6NLw09EwE0CqkOc4q9oUmW1yo/edit?usp=sharing"",""เชียงใหม่!I199"")"),0)</f>
        <v>0</v>
      </c>
      <c r="J289" s="316">
        <f ca="1">IFERROR(__xludf.DUMMYFUNCTION("IMPORTRANGE(""https://docs.google.com/spreadsheets/d/11923uPwbBZFjjGgGUA6NLw09EwE0CqkOc4q9oUmW1yo/edit?usp=sharing"",""เชียงใหม่!J199"")"),0)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IFERROR(__xludf.DUMMYFUNCTION("IMPORTRANGE(""https://docs.google.com/spreadsheets/d/1Yj_ptqi66GCucihVvJfMjLAmec39IyEx_6qawtMGysU/edit?usp=sharing"",""สบก!CT22"")"),0)</f>
        <v>0</v>
      </c>
      <c r="N294" s="168">
        <f ca="1">IFERROR(__xludf.DUMMYFUNCTION("IMPORTRANGE(""https://docs.google.com/spreadsheets/d/1Yj_ptqi66GCucihVvJfMjLAmec39IyEx_6qawtMGysU/edit?usp=sharing"",""สบก!CU22"")"),0)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IFERROR(__xludf.DUMMYFUNCTION("IMPORTRANGE(""https://docs.google.com/spreadsheets/d/1Yj_ptqi66GCucihVvJfMjLAmec39IyEx_6qawtMGysU/edit?usp=sharing"",""สบก!CP22"")"),0)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IFERROR(__xludf.DUMMYFUNCTION("IMPORTRANGE(""https://docs.google.com/spreadsheets/d/1Yj_ptqi66GCucihVvJfMjLAmec39IyEx_6qawtMGysU/edit?usp=sharing"",""สบก!CQ22"")"),0)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IFERROR(__xludf.DUMMYFUNCTION("IMPORTRANGE(""https://docs.google.com/spreadsheets/d/1Yj_ptqi66GCucihVvJfMjLAmec39IyEx_6qawtMGysU/edit?usp=sharing"",""สบก!CR22"")"),0)</f>
        <v>0</v>
      </c>
      <c r="M298" s="50"/>
      <c r="N298" s="50">
        <f ca="1">IFERROR(__xludf.DUMMYFUNCTION("IMPORTRANGE(""https://docs.google.com/spreadsheets/d/1Yj_ptqi66GCucihVvJfMjLAmec39IyEx_6qawtMGysU/edit?usp=sharing"",""สบก!CV22"")"),0)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IFERROR(__xludf.DUMMYFUNCTION("IMPORTRANGE(""https://docs.google.com/spreadsheets/d/11923uPwbBZFjjGgGUA6NLw09EwE0CqkOc4q9oUmW1yo/edit?usp=sharing"",""เชียงใหม่!J205"")"),0)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IFERROR(__xludf.DUMMYFUNCTION("IMPORTRANGE(""https://docs.google.com/spreadsheets/d/11923uPwbBZFjjGgGUA6NLw09EwE0CqkOc4q9oUmW1yo/edit?usp=sharing"",""เชียงใหม่!J206"")"),0)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IFERROR(__xludf.DUMMYFUNCTION("IMPORTRANGE(""https://docs.google.com/spreadsheets/d/11923uPwbBZFjjGgGUA6NLw09EwE0CqkOc4q9oUmW1yo/edit?usp=sharing"",""เชียงใหม่!J207"")"),0)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IFERROR(__xludf.DUMMYFUNCTION("IMPORTRANGE(""https://docs.google.com/spreadsheets/d/11923uPwbBZFjjGgGUA6NLw09EwE0CqkOc4q9oUmW1yo/edit?usp=sharing"",""เชียงใหม่!J208"")"),0)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IFERROR(__xludf.DUMMYFUNCTION("IMPORTRANGE(""https://docs.google.com/spreadsheets/d/11923uPwbBZFjjGgGUA6NLw09EwE0CqkOc4q9oUmW1yo/edit?usp=sharing"",""เชียงใหม่!I209"")"),0)</f>
        <v>0</v>
      </c>
      <c r="J304" s="203">
        <f ca="1">IFERROR(__xludf.DUMMYFUNCTION("IMPORTRANGE(""https://docs.google.com/spreadsheets/d/11923uPwbBZFjjGgGUA6NLw09EwE0CqkOc4q9oUmW1yo/edit?usp=sharing"",""เชียงใหม่!J209"")"),0)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IFERROR(__xludf.DUMMYFUNCTION("IMPORTRANGE(""https://docs.google.com/spreadsheets/d/11923uPwbBZFjjGgGUA6NLw09EwE0CqkOc4q9oUmW1yo/edit?usp=sharing"",""เชียงใหม่!I211"")"),0)</f>
        <v>0</v>
      </c>
      <c r="J306" s="203">
        <f ca="1">IFERROR(__xludf.DUMMYFUNCTION("IMPORTRANGE(""https://docs.google.com/spreadsheets/d/11923uPwbBZFjjGgGUA6NLw09EwE0CqkOc4q9oUmW1yo/edit?usp=sharing"",""เชียงใหม่!J211"")"),0)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IFERROR(__xludf.DUMMYFUNCTION("IMPORTRANGE(""https://docs.google.com/spreadsheets/d/11923uPwbBZFjjGgGUA6NLw09EwE0CqkOc4q9oUmW1yo/edit?usp=sharing"",""เชียงใหม่!J212"")"),0)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IFERROR(__xludf.DUMMYFUNCTION("IMPORTRANGE(""https://docs.google.com/spreadsheets/d/11923uPwbBZFjjGgGUA6NLw09EwE0CqkOc4q9oUmW1yo/edit?usp=sharing"",""เชียงใหม่!J213"")"),0)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IFERROR(__xludf.DUMMYFUNCTION("IMPORTRANGE(""https://docs.google.com/spreadsheets/d/11923uPwbBZFjjGgGUA6NLw09EwE0CqkOc4q9oUmW1yo/edit?usp=sharing"",""เชียงใหม่!I214"")"),6)</f>
        <v>6</v>
      </c>
      <c r="J309" s="333">
        <f ca="1">IFERROR(__xludf.DUMMYFUNCTION("IMPORTRANGE(""https://docs.google.com/spreadsheets/d/11923uPwbBZFjjGgGUA6NLw09EwE0CqkOc4q9oUmW1yo/edit?usp=sharing"",""เชียงใหม่!J214"")"),6)</f>
        <v>6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315600</v>
      </c>
      <c r="M310" s="152">
        <f t="shared" ca="1" si="93"/>
        <v>315600</v>
      </c>
      <c r="N310" s="152">
        <f t="shared" ca="1" si="93"/>
        <v>132827.75</v>
      </c>
      <c r="O310" s="151">
        <f t="shared" ref="O310:O312" ca="1" si="94">IF(L310&gt;0,N310*100/L310,0)</f>
        <v>42.087373257287709</v>
      </c>
      <c r="P310" s="151">
        <f t="shared" ref="P310:P312" ca="1" si="95">IF(M310&gt;0,N310*100/M310,0)</f>
        <v>42.087373257287709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315600</v>
      </c>
      <c r="M312" s="88">
        <f t="shared" ca="1" si="97"/>
        <v>315600</v>
      </c>
      <c r="N312" s="88">
        <f t="shared" ca="1" si="97"/>
        <v>132827.75</v>
      </c>
      <c r="O312" s="156">
        <f t="shared" ca="1" si="94"/>
        <v>42.087373257287709</v>
      </c>
      <c r="P312" s="156">
        <f t="shared" ca="1" si="95"/>
        <v>42.087373257287709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315600</v>
      </c>
      <c r="M314" s="167">
        <f ca="1">IFERROR(__xludf.DUMMYFUNCTION("IMPORTRANGE(""https://docs.google.com/spreadsheets/d/1Yj_ptqi66GCucihVvJfMjLAmec39IyEx_6qawtMGysU/edit?usp=sharing"",""สบก!DC22"")"),315600)</f>
        <v>315600</v>
      </c>
      <c r="N314" s="168">
        <f ca="1">IFERROR(__xludf.DUMMYFUNCTION("IMPORTRANGE(""https://docs.google.com/spreadsheets/d/1Yj_ptqi66GCucihVvJfMjLAmec39IyEx_6qawtMGysU/edit?usp=sharing"",""สบก!DD22"")"),132827.75)</f>
        <v>132827.75</v>
      </c>
      <c r="O314" s="168">
        <f ca="1">IF(L314&gt;0,N314*100/L314,0)</f>
        <v>42.087373257287709</v>
      </c>
      <c r="P314" s="168">
        <f ca="1">IF(M314&gt;0,N314*100/M314,0)</f>
        <v>42.087373257287709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IFERROR(__xludf.DUMMYFUNCTION("IMPORTRANGE(""https://docs.google.com/spreadsheets/d/1Yj_ptqi66GCucihVvJfMjLAmec39IyEx_6qawtMGysU/edit?usp=sharing"",""สบก!CY22"")"),0)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IFERROR(__xludf.DUMMYFUNCTION("IMPORTRANGE(""https://docs.google.com/spreadsheets/d/1Yj_ptqi66GCucihVvJfMjLAmec39IyEx_6qawtMGysU/edit?usp=sharing"",""สบก!CZ22"")"),315600)</f>
        <v>315600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IFERROR(__xludf.DUMMYFUNCTION("IMPORTRANGE(""https://docs.google.com/spreadsheets/d/1Yj_ptqi66GCucihVvJfMjLAmec39IyEx_6qawtMGysU/edit?usp=sharing"",""สบก!DA22"")"),0)</f>
        <v>0</v>
      </c>
      <c r="M318" s="50"/>
      <c r="N318" s="50">
        <f ca="1">IFERROR(__xludf.DUMMYFUNCTION("IMPORTRANGE(""https://docs.google.com/spreadsheets/d/1Yj_ptqi66GCucihVvJfMjLAmec39IyEx_6qawtMGysU/edit?usp=sharing"",""สบก!DE22"")"),0)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IFERROR(__xludf.DUMMYFUNCTION("IMPORTRANGE(""https://docs.google.com/spreadsheets/d/11923uPwbBZFjjGgGUA6NLw09EwE0CqkOc4q9oUmW1yo/edit?usp=sharing"",""เชียงใหม่!J220"")"),0)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IFERROR(__xludf.DUMMYFUNCTION("IMPORTRANGE(""https://docs.google.com/spreadsheets/d/11923uPwbBZFjjGgGUA6NLw09EwE0CqkOc4q9oUmW1yo/edit?usp=sharing"",""เชียงใหม่!J221"")"),1)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IFERROR(__xludf.DUMMYFUNCTION("IMPORTRANGE(""https://docs.google.com/spreadsheets/d/11923uPwbBZFjjGgGUA6NLw09EwE0CqkOc4q9oUmW1yo/edit?usp=sharing"",""เชียงใหม่!J222"")"),1)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IFERROR(__xludf.DUMMYFUNCTION("IMPORTRANGE(""https://docs.google.com/spreadsheets/d/11923uPwbBZFjjGgGUA6NLw09EwE0CqkOc4q9oUmW1yo/edit?usp=sharing"",""เชียงใหม่!J223"")"),1)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IFERROR(__xludf.DUMMYFUNCTION("IMPORTRANGE(""https://docs.google.com/spreadsheets/d/11923uPwbBZFjjGgGUA6NLw09EwE0CqkOc4q9oUmW1yo/edit?usp=sharing"",""เชียงใหม่!I224"")"),6)</f>
        <v>6</v>
      </c>
      <c r="J324" s="203">
        <f ca="1">IFERROR(__xludf.DUMMYFUNCTION("IMPORTRANGE(""https://docs.google.com/spreadsheets/d/11923uPwbBZFjjGgGUA6NLw09EwE0CqkOc4q9oUmW1yo/edit?usp=sharing"",""เชียงใหม่!J224"")"),6)</f>
        <v>6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IFERROR(__xludf.DUMMYFUNCTION("IMPORTRANGE(""https://docs.google.com/spreadsheets/d/11923uPwbBZFjjGgGUA6NLw09EwE0CqkOc4q9oUmW1yo/edit?usp=sharing"",""เชียงใหม่!J225"")"),0)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IFERROR(__xludf.DUMMYFUNCTION("IMPORTRANGE(""https://docs.google.com/spreadsheets/d/11923uPwbBZFjjGgGUA6NLw09EwE0CqkOc4q9oUmW1yo/edit?usp=sharing"",""เชียงใหม่!J226"")"),0)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IFERROR(__xludf.DUMMYFUNCTION("IMPORTRANGE(""https://docs.google.com/spreadsheets/d/11923uPwbBZFjjGgGUA6NLw09EwE0CqkOc4q9oUmW1yo/edit?usp=sharing"",""เชียงใหม่!I228"")"),315)</f>
        <v>315</v>
      </c>
      <c r="J328" s="339">
        <f ca="1">IFERROR(__xludf.DUMMYFUNCTION("IMPORTRANGE(""https://docs.google.com/spreadsheets/d/11923uPwbBZFjjGgGUA6NLw09EwE0CqkOc4q9oUmW1yo/edit?usp=sharing"",""เชียงใหม่!J228"")"),181)</f>
        <v>181</v>
      </c>
      <c r="K328" s="317">
        <f ca="1">IF(I328&gt;0,J328*100/I328,0)</f>
        <v>57.460317460317462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845280</v>
      </c>
      <c r="M329" s="152">
        <f t="shared" ca="1" si="98"/>
        <v>884980</v>
      </c>
      <c r="N329" s="152">
        <f t="shared" ca="1" si="98"/>
        <v>606183.49</v>
      </c>
      <c r="O329" s="151">
        <f t="shared" ref="O329:O331" ca="1" si="99">IF(L329&gt;0,N329*100/L329,0)</f>
        <v>71.713927929206889</v>
      </c>
      <c r="P329" s="151">
        <f t="shared" ref="P329:P331" ca="1" si="100">IF(M329&gt;0,N329*100/M329,0)</f>
        <v>68.496857556102967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845280</v>
      </c>
      <c r="M331" s="88">
        <f t="shared" ca="1" si="102"/>
        <v>884980</v>
      </c>
      <c r="N331" s="88">
        <f t="shared" ca="1" si="102"/>
        <v>606183.49</v>
      </c>
      <c r="O331" s="156">
        <f t="shared" ca="1" si="99"/>
        <v>71.713927929206889</v>
      </c>
      <c r="P331" s="156">
        <f t="shared" ca="1" si="100"/>
        <v>68.496857556102967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802280</v>
      </c>
      <c r="M333" s="167">
        <f ca="1">IFERROR(__xludf.DUMMYFUNCTION("IMPORTRANGE(""https://docs.google.com/spreadsheets/d/1Yj_ptqi66GCucihVvJfMjLAmec39IyEx_6qawtMGysU/edit?usp=sharing"",""สบก!DL22"")"),841980)</f>
        <v>841980</v>
      </c>
      <c r="N333" s="168">
        <f ca="1">IFERROR(__xludf.DUMMYFUNCTION("IMPORTRANGE(""https://docs.google.com/spreadsheets/d/1Yj_ptqi66GCucihVvJfMjLAmec39IyEx_6qawtMGysU/edit?usp=sharing"",""สบก!DM22"")"),563183.49)</f>
        <v>563183.49</v>
      </c>
      <c r="O333" s="168">
        <f ca="1">IF(L333&gt;0,N333*100/L333,0)</f>
        <v>70.197872313905364</v>
      </c>
      <c r="P333" s="168">
        <f ca="1">IF(M333&gt;0,N333*100/M333,0)</f>
        <v>66.887989025867597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IFERROR(__xludf.DUMMYFUNCTION("IMPORTRANGE(""https://docs.google.com/spreadsheets/d/1Yj_ptqi66GCucihVvJfMjLAmec39IyEx_6qawtMGysU/edit?usp=sharing"",""สบก!DH22"")"),471600)</f>
        <v>471600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IFERROR(__xludf.DUMMYFUNCTION("IMPORTRANGE(""https://docs.google.com/spreadsheets/d/1Yj_ptqi66GCucihVvJfMjLAmec39IyEx_6qawtMGysU/edit?usp=sharing"",""สบก!DI22"")"),330680)</f>
        <v>330680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IFERROR(__xludf.DUMMYFUNCTION("IMPORTRANGE(""https://docs.google.com/spreadsheets/d/1Yj_ptqi66GCucihVvJfMjLAmec39IyEx_6qawtMGysU/edit?usp=sharing"",""สบก!DJ22"")"),43000)</f>
        <v>43000</v>
      </c>
      <c r="M337" s="50">
        <f ca="1">L337</f>
        <v>43000</v>
      </c>
      <c r="N337" s="50">
        <f ca="1">IFERROR(__xludf.DUMMYFUNCTION("IMPORTRANGE(""https://docs.google.com/spreadsheets/d/1Yj_ptqi66GCucihVvJfMjLAmec39IyEx_6qawtMGysU/edit?usp=sharing"",""สบก!DN22"")"),43000)</f>
        <v>43000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IFERROR(__xludf.DUMMYFUNCTION("IMPORTRANGE(""https://docs.google.com/spreadsheets/d/11923uPwbBZFjjGgGUA6NLw09EwE0CqkOc4q9oUmW1yo/edit?usp=sharing"",""เชียงใหม่!I234"")"),0)</f>
        <v>0</v>
      </c>
      <c r="J339" s="187">
        <f ca="1">IFERROR(__xludf.DUMMYFUNCTION("IMPORTRANGE(""https://docs.google.com/spreadsheets/d/11923uPwbBZFjjGgGUA6NLw09EwE0CqkOc4q9oUmW1yo/edit?usp=sharing"",""เชียงใหม่!J234"")"),186)</f>
        <v>186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IFERROR(__xludf.DUMMYFUNCTION("IMPORTRANGE(""https://docs.google.com/spreadsheets/d/11923uPwbBZFjjGgGUA6NLw09EwE0CqkOc4q9oUmW1yo/edit?usp=sharing"",""เชียงใหม่!I235"")"),1060)</f>
        <v>1060</v>
      </c>
      <c r="J340" s="187">
        <f ca="1">IFERROR(__xludf.DUMMYFUNCTION("IMPORTRANGE(""https://docs.google.com/spreadsheets/d/11923uPwbBZFjjGgGUA6NLw09EwE0CqkOc4q9oUmW1yo/edit?usp=sharing"",""เชียงใหม่!J235"")"),867.39)</f>
        <v>867.39</v>
      </c>
      <c r="K340" s="342">
        <f t="shared" ca="1" si="103"/>
        <v>81.829245283018864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IFERROR(__xludf.DUMMYFUNCTION("IMPORTRANGE(""https://docs.google.com/spreadsheets/d/11923uPwbBZFjjGgGUA6NLw09EwE0CqkOc4q9oUmW1yo/edit?usp=sharing"",""เชียงใหม่!I236"")"),315)</f>
        <v>315</v>
      </c>
      <c r="J341" s="187">
        <f ca="1">IFERROR(__xludf.DUMMYFUNCTION("IMPORTRANGE(""https://docs.google.com/spreadsheets/d/11923uPwbBZFjjGgGUA6NLw09EwE0CqkOc4q9oUmW1yo/edit?usp=sharing"",""เชียงใหม่!J236"")"),254)</f>
        <v>254</v>
      </c>
      <c r="K341" s="342">
        <f t="shared" ca="1" si="103"/>
        <v>80.634920634920633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IFERROR(__xludf.DUMMYFUNCTION("IMPORTRANGE(""https://docs.google.com/spreadsheets/d/11923uPwbBZFjjGgGUA6NLw09EwE0CqkOc4q9oUmW1yo/edit?usp=sharing"",""เชียงใหม่!I237"")"),0)</f>
        <v>0</v>
      </c>
      <c r="J342" s="187">
        <f ca="1">IFERROR(__xludf.DUMMYFUNCTION("IMPORTRANGE(""https://docs.google.com/spreadsheets/d/11923uPwbBZFjjGgGUA6NLw09EwE0CqkOc4q9oUmW1yo/edit?usp=sharing"",""เชียงใหม่!J237"")"),1363.85)</f>
        <v>1363.85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IFERROR(__xludf.DUMMYFUNCTION("IMPORTRANGE(""https://docs.google.com/spreadsheets/d/11923uPwbBZFjjGgGUA6NLw09EwE0CqkOc4q9oUmW1yo/edit?usp=sharing"",""เชียงใหม่!I238"")"),315)</f>
        <v>315</v>
      </c>
      <c r="J343" s="187">
        <f ca="1">IFERROR(__xludf.DUMMYFUNCTION("IMPORTRANGE(""https://docs.google.com/spreadsheets/d/11923uPwbBZFjjGgGUA6NLw09EwE0CqkOc4q9oUmW1yo/edit?usp=sharing"",""เชียงใหม่!J238"")"),0)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IFERROR(__xludf.DUMMYFUNCTION("IMPORTRANGE(""https://docs.google.com/spreadsheets/d/11923uPwbBZFjjGgGUA6NLw09EwE0CqkOc4q9oUmW1yo/edit?usp=sharing"",""เชียงใหม่!I239"")"),0)</f>
        <v>0</v>
      </c>
      <c r="J344" s="187">
        <f ca="1">IFERROR(__xludf.DUMMYFUNCTION("IMPORTRANGE(""https://docs.google.com/spreadsheets/d/11923uPwbBZFjjGgGUA6NLw09EwE0CqkOc4q9oUmW1yo/edit?usp=sharing"",""เชียงใหม่!J239"")"),0)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IFERROR(__xludf.DUMMYFUNCTION("IMPORTRANGE(""https://docs.google.com/spreadsheets/d/11923uPwbBZFjjGgGUA6NLw09EwE0CqkOc4q9oUmW1yo/edit?usp=sharing"",""เชียงใหม่!I240"")"),315)</f>
        <v>315</v>
      </c>
      <c r="J345" s="187">
        <f ca="1">IFERROR(__xludf.DUMMYFUNCTION("IMPORTRANGE(""https://docs.google.com/spreadsheets/d/11923uPwbBZFjjGgGUA6NLw09EwE0CqkOc4q9oUmW1yo/edit?usp=sharing"",""เชียงใหม่!J240"")"),181)</f>
        <v>181</v>
      </c>
      <c r="K345" s="342">
        <f t="shared" ca="1" si="103"/>
        <v>57.460317460317462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IFERROR(__xludf.DUMMYFUNCTION("IMPORTRANGE(""https://docs.google.com/spreadsheets/d/11923uPwbBZFjjGgGUA6NLw09EwE0CqkOc4q9oUmW1yo/edit?usp=sharing"",""เชียงใหม่!I241"")"),0)</f>
        <v>0</v>
      </c>
      <c r="J346" s="187">
        <f ca="1">IFERROR(__xludf.DUMMYFUNCTION("IMPORTRANGE(""https://docs.google.com/spreadsheets/d/11923uPwbBZFjjGgGUA6NLw09EwE0CqkOc4q9oUmW1yo/edit?usp=sharing"",""เชียงใหม่!J241"")"),977.99)</f>
        <v>977.99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IFERROR(__xludf.DUMMYFUNCTION("IMPORTRANGE(""https://docs.google.com/spreadsheets/d/11923uPwbBZFjjGgGUA6NLw09EwE0CqkOc4q9oUmW1yo/edit?usp=sharing"",""เชียงใหม่!L242"")"),2661379)</f>
        <v>2661379</v>
      </c>
      <c r="M347" s="357"/>
      <c r="N347" s="357">
        <f ca="1">IFERROR(__xludf.DUMMYFUNCTION("IMPORTRANGE(""https://docs.google.com/spreadsheets/d/11923uPwbBZFjjGgGUA6NLw09EwE0CqkOc4q9oUmW1yo/edit?usp=sharing"",""เชียงใหม่!M242"")"),1311206.05)</f>
        <v>1311206.05</v>
      </c>
      <c r="O347" s="357">
        <f ca="1">+IF(L347&gt;0,N347*100/L347,0)</f>
        <v>49.267918999886902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IFERROR(__xludf.DUMMYFUNCTION("IMPORTRANGE(""https://docs.google.com/spreadsheets/d/11923uPwbBZFjjGgGUA6NLw09EwE0CqkOc4q9oUmW1yo/edit?usp=sharing"",""เชียงใหม่!I244"")"),100)</f>
        <v>100</v>
      </c>
      <c r="J349" s="370">
        <f ca="1">IFERROR(__xludf.DUMMYFUNCTION("IMPORTRANGE(""https://docs.google.com/spreadsheets/d/11923uPwbBZFjjGgGUA6NLw09EwE0CqkOc4q9oUmW1yo/edit?usp=sharing"",""เชียงใหม่!J244"")"),100)</f>
        <v>100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IFERROR(__xludf.DUMMYFUNCTION("IMPORTRANGE(""https://docs.google.com/spreadsheets/d/11923uPwbBZFjjGgGUA6NLw09EwE0CqkOc4q9oUmW1yo/edit?usp=sharing"",""เชียงใหม่!L244"")"),317760)</f>
        <v>317760</v>
      </c>
      <c r="M349" s="372"/>
      <c r="N349" s="372">
        <f ca="1">IFERROR(__xludf.DUMMYFUNCTION("IMPORTRANGE(""https://docs.google.com/spreadsheets/d/11923uPwbBZFjjGgGUA6NLw09EwE0CqkOc4q9oUmW1yo/edit?usp=sharing"",""เชียงใหม่!M244"")"),251512.58)</f>
        <v>251512.58</v>
      </c>
      <c r="O349" s="372">
        <f ca="1">+IF(L349&gt;0,N349*100/L349,0)</f>
        <v>79.151743454179254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IFERROR(__xludf.DUMMYFUNCTION("IMPORTRANGE(""https://docs.google.com/spreadsheets/d/11923uPwbBZFjjGgGUA6NLw09EwE0CqkOc4q9oUmW1yo/edit?usp=sharing"",""เชียงใหม่!I245"")"),40)</f>
        <v>40</v>
      </c>
      <c r="J350" s="370">
        <f ca="1">IFERROR(__xludf.DUMMYFUNCTION("IMPORTRANGE(""https://docs.google.com/spreadsheets/d/11923uPwbBZFjjGgGUA6NLw09EwE0CqkOc4q9oUmW1yo/edit?usp=sharing"",""เชียงใหม่!J245"")"),40)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IFERROR(__xludf.DUMMYFUNCTION("IMPORTRANGE(""https://docs.google.com/spreadsheets/d/11923uPwbBZFjjGgGUA6NLw09EwE0CqkOc4q9oUmW1yo/edit?usp=sharing"",""เชียงใหม่!L246"")"),0)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IFERROR(__xludf.DUMMYFUNCTION("IMPORTRANGE(""https://docs.google.com/spreadsheets/d/11923uPwbBZFjjGgGUA6NLw09EwE0CqkOc4q9oUmW1yo/edit?usp=sharing"",""เชียงใหม่!M246"")"),0)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IFERROR(__xludf.DUMMYFUNCTION("IMPORTRANGE(""https://docs.google.com/spreadsheets/d/11923uPwbBZFjjGgGUA6NLw09EwE0CqkOc4q9oUmW1yo/edit?usp=sharing"",""เชียงใหม่!L247"")"),317760)</f>
        <v>317760</v>
      </c>
      <c r="M352" s="165"/>
      <c r="N352" s="164">
        <f ca="1">IFERROR(__xludf.DUMMYFUNCTION("IMPORTRANGE(""https://docs.google.com/spreadsheets/d/11923uPwbBZFjjGgGUA6NLw09EwE0CqkOc4q9oUmW1yo/edit?usp=sharing"",""เชียงใหม่!M247"")"),251512.58)</f>
        <v>251512.58</v>
      </c>
      <c r="O352" s="165">
        <f t="shared" ca="1" si="105"/>
        <v>79.151743454179254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IFERROR(__xludf.DUMMYFUNCTION("IMPORTRANGE(""https://docs.google.com/spreadsheets/d/11923uPwbBZFjjGgGUA6NLw09EwE0CqkOc4q9oUmW1yo/edit?usp=sharing"",""เชียงใหม่!L248"")"),0)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IFERROR(__xludf.DUMMYFUNCTION("IMPORTRANGE(""https://docs.google.com/spreadsheets/d/11923uPwbBZFjjGgGUA6NLw09EwE0CqkOc4q9oUmW1yo/edit?usp=sharing"",""เชียงใหม่!M248"")"),0)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IFERROR(__xludf.DUMMYFUNCTION("IMPORTRANGE(""https://docs.google.com/spreadsheets/d/11923uPwbBZFjjGgGUA6NLw09EwE0CqkOc4q9oUmW1yo/edit?usp=sharing"",""เชียงใหม่!L249"")"),317760)</f>
        <v>317760</v>
      </c>
      <c r="M354" s="168"/>
      <c r="N354" s="167">
        <f ca="1">IFERROR(__xludf.DUMMYFUNCTION("IMPORTRANGE(""https://docs.google.com/spreadsheets/d/11923uPwbBZFjjGgGUA6NLw09EwE0CqkOc4q9oUmW1yo/edit?usp=sharing"",""เชียงใหม่!M249"")"),251512.58)</f>
        <v>251512.58</v>
      </c>
      <c r="O354" s="168">
        <f t="shared" ca="1" si="105"/>
        <v>79.151743454179254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IFERROR(__xludf.DUMMYFUNCTION("IMPORTRANGE(""https://docs.google.com/spreadsheets/d/11923uPwbBZFjjGgGUA6NLw09EwE0CqkOc4q9oUmW1yo/edit?usp=sharing"",""เชียงใหม่!M250"")"),50400)</f>
        <v>50400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IFERROR(__xludf.DUMMYFUNCTION("IMPORTRANGE(""https://docs.google.com/spreadsheets/d/11923uPwbBZFjjGgGUA6NLw09EwE0CqkOc4q9oUmW1yo/edit?usp=sharing"",""เชียงใหม่!M251"")"),89600)</f>
        <v>89600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IFERROR(__xludf.DUMMYFUNCTION("IMPORTRANGE(""https://docs.google.com/spreadsheets/d/11923uPwbBZFjjGgGUA6NLw09EwE0CqkOc4q9oUmW1yo/edit?usp=sharing"",""เชียงใหม่!M252"")"),103225.58)</f>
        <v>103225.58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IFERROR(__xludf.DUMMYFUNCTION("IMPORTRANGE(""https://docs.google.com/spreadsheets/d/11923uPwbBZFjjGgGUA6NLw09EwE0CqkOc4q9oUmW1yo/edit?usp=sharing"",""เชียงใหม่!M253"")"),8287)</f>
        <v>8287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IFERROR(__xludf.DUMMYFUNCTION("IMPORTRANGE(""https://docs.google.com/spreadsheets/d/11923uPwbBZFjjGgGUA6NLw09EwE0CqkOc4q9oUmW1yo/edit?usp=sharing"",""เชียงใหม่!J255"")"),0)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IFERROR(__xludf.DUMMYFUNCTION("IMPORTRANGE(""https://docs.google.com/spreadsheets/d/11923uPwbBZFjjGgGUA6NLw09EwE0CqkOc4q9oUmW1yo/edit?usp=sharing"",""เชียงใหม่!J256"")"),1)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IFERROR(__xludf.DUMMYFUNCTION("IMPORTRANGE(""https://docs.google.com/spreadsheets/d/11923uPwbBZFjjGgGUA6NLw09EwE0CqkOc4q9oUmW1yo/edit?usp=sharing"",""เชียงใหม่!J257"")"),1)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IFERROR(__xludf.DUMMYFUNCTION("IMPORTRANGE(""https://docs.google.com/spreadsheets/d/11923uPwbBZFjjGgGUA6NLw09EwE0CqkOc4q9oUmW1yo/edit?usp=sharing"",""เชียงใหม่!J258"")"),1)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IFERROR(__xludf.DUMMYFUNCTION("IMPORTRANGE(""https://docs.google.com/spreadsheets/d/11923uPwbBZFjjGgGUA6NLw09EwE0CqkOc4q9oUmW1yo/edit?usp=sharing"",""เชียงใหม่!J166"")"),0)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IFERROR(__xludf.DUMMYFUNCTION("IMPORTRANGE(""https://docs.google.com/spreadsheets/d/11923uPwbBZFjjGgGUA6NLw09EwE0CqkOc4q9oUmW1yo/edit?usp=sharing"",""เชียงใหม่!J166"")"),0)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IFERROR(__xludf.DUMMYFUNCTION("IMPORTRANGE(""https://docs.google.com/spreadsheets/d/11923uPwbBZFjjGgGUA6NLw09EwE0CqkOc4q9oUmW1yo/edit?usp=sharing"",""เชียงใหม่!J166"")"),0)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IFERROR(__xludf.DUMMYFUNCTION("IMPORTRANGE(""https://docs.google.com/spreadsheets/d/11923uPwbBZFjjGgGUA6NLw09EwE0CqkOc4q9oUmW1yo/edit?usp=sharing"",""เชียงใหม่!J166"")"),0)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IFERROR(__xludf.DUMMYFUNCTION("IMPORTRANGE(""https://docs.google.com/spreadsheets/d/11923uPwbBZFjjGgGUA6NLw09EwE0CqkOc4q9oUmW1yo/edit?usp=sharing"",""เชียงใหม่!I263"")"),40)</f>
        <v>40</v>
      </c>
      <c r="J368" s="187">
        <f ca="1">IFERROR(__xludf.DUMMYFUNCTION("IMPORTRANGE(""https://docs.google.com/spreadsheets/d/11923uPwbBZFjjGgGUA6NLw09EwE0CqkOc4q9oUmW1yo/edit?usp=sharing"",""เชียงใหม่!J263"")"),40)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IFERROR(__xludf.DUMMYFUNCTION("IMPORTRANGE(""https://docs.google.com/spreadsheets/d/11923uPwbBZFjjGgGUA6NLw09EwE0CqkOc4q9oUmW1yo/edit?usp=sharing"",""เชียงใหม่!I164"")"),0)</f>
        <v>0</v>
      </c>
      <c r="J369" s="203">
        <f ca="1">IFERROR(__xludf.DUMMYFUNCTION("IMPORTRANGE(""https://docs.google.com/spreadsheets/d/11923uPwbBZFjjGgGUA6NLw09EwE0CqkOc4q9oUmW1yo/edit?usp=sharing"",""เชียงใหม่!J164"")"),0)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IFERROR(__xludf.DUMMYFUNCTION("IMPORTRANGE(""https://docs.google.com/spreadsheets/d/11923uPwbBZFjjGgGUA6NLw09EwE0CqkOc4q9oUmW1yo/edit?usp=sharing"",""เชียงใหม่!I265"")"),40)</f>
        <v>40</v>
      </c>
      <c r="J370" s="203">
        <f ca="1">IFERROR(__xludf.DUMMYFUNCTION("IMPORTRANGE(""https://docs.google.com/spreadsheets/d/11923uPwbBZFjjGgGUA6NLw09EwE0CqkOc4q9oUmW1yo/edit?usp=sharing"",""เชียงใหม่!J265"")"),40)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IFERROR(__xludf.DUMMYFUNCTION("IMPORTRANGE(""https://docs.google.com/spreadsheets/d/11923uPwbBZFjjGgGUA6NLw09EwE0CqkOc4q9oUmW1yo/edit?usp=sharing"",""เชียงใหม่!I164"")"),0)</f>
        <v>0</v>
      </c>
      <c r="J371" s="188">
        <f ca="1">IFERROR(__xludf.DUMMYFUNCTION("IMPORTRANGE(""https://docs.google.com/spreadsheets/d/11923uPwbBZFjjGgGUA6NLw09EwE0CqkOc4q9oUmW1yo/edit?usp=sharing"",""เชียงใหม่!J164"")"),0)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IFERROR(__xludf.DUMMYFUNCTION("IMPORTRANGE(""https://docs.google.com/spreadsheets/d/11923uPwbBZFjjGgGUA6NLw09EwE0CqkOc4q9oUmW1yo/edit?usp=sharing"",""เชียงใหม่!I267"")"),40)</f>
        <v>40</v>
      </c>
      <c r="J372" s="188">
        <f ca="1">IFERROR(__xludf.DUMMYFUNCTION("IMPORTRANGE(""https://docs.google.com/spreadsheets/d/11923uPwbBZFjjGgGUA6NLw09EwE0CqkOc4q9oUmW1yo/edit?usp=sharing"",""เชียงใหม่!J267"")"),40)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IFERROR(__xludf.DUMMYFUNCTION("IMPORTRANGE(""https://docs.google.com/spreadsheets/d/11923uPwbBZFjjGgGUA6NLw09EwE0CqkOc4q9oUmW1yo/edit?usp=sharing"",""เชียงใหม่!I164"")"),0)</f>
        <v>0</v>
      </c>
      <c r="J373" s="203">
        <f ca="1">IFERROR(__xludf.DUMMYFUNCTION("IMPORTRANGE(""https://docs.google.com/spreadsheets/d/11923uPwbBZFjjGgGUA6NLw09EwE0CqkOc4q9oUmW1yo/edit?usp=sharing"",""เชียงใหม่!J164"")"),0)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IFERROR(__xludf.DUMMYFUNCTION("IMPORTRANGE(""https://docs.google.com/spreadsheets/d/11923uPwbBZFjjGgGUA6NLw09EwE0CqkOc4q9oUmW1yo/edit?usp=sharing"",""เชียงใหม่!I164"")"),0)</f>
        <v>0</v>
      </c>
      <c r="J374" s="187">
        <f ca="1">IFERROR(__xludf.DUMMYFUNCTION("IMPORTRANGE(""https://docs.google.com/spreadsheets/d/11923uPwbBZFjjGgGUA6NLw09EwE0CqkOc4q9oUmW1yo/edit?usp=sharing"",""เชียงใหม่!J164"")"),0)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IFERROR(__xludf.DUMMYFUNCTION("IMPORTRANGE(""https://docs.google.com/spreadsheets/d/11923uPwbBZFjjGgGUA6NLw09EwE0CqkOc4q9oUmW1yo/edit?usp=sharing"",""เชียงใหม่!I270"")"),100)</f>
        <v>100</v>
      </c>
      <c r="J375" s="187">
        <f ca="1">IFERROR(__xludf.DUMMYFUNCTION("IMPORTRANGE(""https://docs.google.com/spreadsheets/d/11923uPwbBZFjjGgGUA6NLw09EwE0CqkOc4q9oUmW1yo/edit?usp=sharing"",""เชียงใหม่!J270"")"),100)</f>
        <v>100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IFERROR(__xludf.DUMMYFUNCTION("IMPORTRANGE(""https://docs.google.com/spreadsheets/d/11923uPwbBZFjjGgGUA6NLw09EwE0CqkOc4q9oUmW1yo/edit?usp=sharing"",""เชียงใหม่!I271"")"),32)</f>
        <v>32</v>
      </c>
      <c r="J376" s="188">
        <f ca="1">IFERROR(__xludf.DUMMYFUNCTION("IMPORTRANGE(""https://docs.google.com/spreadsheets/d/11923uPwbBZFjjGgGUA6NLw09EwE0CqkOc4q9oUmW1yo/edit?usp=sharing"",""เชียงใหม่!J271"")"),32)</f>
        <v>32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IFERROR(__xludf.DUMMYFUNCTION("IMPORTRANGE(""https://docs.google.com/spreadsheets/d/11923uPwbBZFjjGgGUA6NLw09EwE0CqkOc4q9oUmW1yo/edit?usp=sharing"",""เชียงใหม่!I272"")"),68)</f>
        <v>68</v>
      </c>
      <c r="J377" s="203">
        <f ca="1">IFERROR(__xludf.DUMMYFUNCTION("IMPORTRANGE(""https://docs.google.com/spreadsheets/d/11923uPwbBZFjjGgGUA6NLw09EwE0CqkOc4q9oUmW1yo/edit?usp=sharing"",""เชียงใหม่!J272"")"),68)</f>
        <v>68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IFERROR(__xludf.DUMMYFUNCTION("IMPORTRANGE(""https://docs.google.com/spreadsheets/d/11923uPwbBZFjjGgGUA6NLw09EwE0CqkOc4q9oUmW1yo/edit?usp=sharing"",""เชียงใหม่!J273"")"),0)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IFERROR(__xludf.DUMMYFUNCTION("IMPORTRANGE(""https://docs.google.com/spreadsheets/d/11923uPwbBZFjjGgGUA6NLw09EwE0CqkOc4q9oUmW1yo/edit?usp=sharing"",""เชียงใหม่!J274"")"),0)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IFERROR(__xludf.DUMMYFUNCTION("IMPORTRANGE(""https://docs.google.com/spreadsheets/d/11923uPwbBZFjjGgGUA6NLw09EwE0CqkOc4q9oUmW1yo/edit?usp=sharing"",""เชียงใหม่!I275"")"),1000)</f>
        <v>1000</v>
      </c>
      <c r="J380" s="370">
        <f ca="1">IFERROR(__xludf.DUMMYFUNCTION("IMPORTRANGE(""https://docs.google.com/spreadsheets/d/11923uPwbBZFjjGgGUA6NLw09EwE0CqkOc4q9oUmW1yo/edit?usp=sharing"",""เชียงใหม่!J275"")"),0)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IFERROR(__xludf.DUMMYFUNCTION("IMPORTRANGE(""https://docs.google.com/spreadsheets/d/11923uPwbBZFjjGgGUA6NLw09EwE0CqkOc4q9oUmW1yo/edit?usp=sharing"",""เชียงใหม่!L275"")"),1028520)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IFERROR(__xludf.DUMMYFUNCTION("IMPORTRANGE(""https://docs.google.com/spreadsheets/d/11923uPwbBZFjjGgGUA6NLw09EwE0CqkOc4q9oUmW1yo/edit?usp=sharing"",""เชียงใหม่!M275"")"),307125.58)</f>
        <v>307125.58</v>
      </c>
      <c r="O380" s="372">
        <f ca="1">+IF(L380&gt;0,N380*100/L380,0)</f>
        <v>29.860924435110643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IFERROR(__xludf.DUMMYFUNCTION("IMPORTRANGE(""https://docs.google.com/spreadsheets/d/11923uPwbBZFjjGgGUA6NLw09EwE0CqkOc4q9oUmW1yo/edit?usp=sharing"",""เชียงใหม่!I276"")"),100)</f>
        <v>100</v>
      </c>
      <c r="J381" s="370">
        <f ca="1">IFERROR(__xludf.DUMMYFUNCTION("IMPORTRANGE(""https://docs.google.com/spreadsheets/d/11923uPwbBZFjjGgGUA6NLw09EwE0CqkOc4q9oUmW1yo/edit?usp=sharing"",""เชียงใหม่!J276"")"),100)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IFERROR(__xludf.DUMMYFUNCTION("IMPORTRANGE(""https://docs.google.com/spreadsheets/d/11923uPwbBZFjjGgGUA6NLw09EwE0CqkOc4q9oUmW1yo/edit?usp=sharing"",""เชียงใหม่!L277"")"),0)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IFERROR(__xludf.DUMMYFUNCTION("IMPORTRANGE(""https://docs.google.com/spreadsheets/d/11923uPwbBZFjjGgGUA6NLw09EwE0CqkOc4q9oUmW1yo/edit?usp=sharing"",""เชียงใหม่!M277"")"),0)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IFERROR(__xludf.DUMMYFUNCTION("IMPORTRANGE(""https://docs.google.com/spreadsheets/d/11923uPwbBZFjjGgGUA6NLw09EwE0CqkOc4q9oUmW1yo/edit?usp=sharing"",""เชียงใหม่!L278"")"),1028520)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IFERROR(__xludf.DUMMYFUNCTION("IMPORTRANGE(""https://docs.google.com/spreadsheets/d/11923uPwbBZFjjGgGUA6NLw09EwE0CqkOc4q9oUmW1yo/edit?usp=sharing"",""เชียงใหม่!M278"")"),307125.58)</f>
        <v>307125.58</v>
      </c>
      <c r="O383" s="165">
        <f t="shared" ca="1" si="109"/>
        <v>29.860924435110643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IFERROR(__xludf.DUMMYFUNCTION("IMPORTRANGE(""https://docs.google.com/spreadsheets/d/11923uPwbBZFjjGgGUA6NLw09EwE0CqkOc4q9oUmW1yo/edit?usp=sharing"",""เชียงใหม่!L279"")"),0)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IFERROR(__xludf.DUMMYFUNCTION("IMPORTRANGE(""https://docs.google.com/spreadsheets/d/11923uPwbBZFjjGgGUA6NLw09EwE0CqkOc4q9oUmW1yo/edit?usp=sharing"",""เชียงใหม่!M279"")"),0)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IFERROR(__xludf.DUMMYFUNCTION("IMPORTRANGE(""https://docs.google.com/spreadsheets/d/11923uPwbBZFjjGgGUA6NLw09EwE0CqkOc4q9oUmW1yo/edit?usp=sharing"",""เชียงใหม่!L280"")"),1028520)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IFERROR(__xludf.DUMMYFUNCTION("IMPORTRANGE(""https://docs.google.com/spreadsheets/d/11923uPwbBZFjjGgGUA6NLw09EwE0CqkOc4q9oUmW1yo/edit?usp=sharing"",""เชียงใหม่!M280"")"),307125.58)</f>
        <v>307125.58</v>
      </c>
      <c r="O385" s="168">
        <f t="shared" ca="1" si="109"/>
        <v>29.860924435110643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IFERROR(__xludf.DUMMYFUNCTION("IMPORTRANGE(""https://docs.google.com/spreadsheets/d/11923uPwbBZFjjGgGUA6NLw09EwE0CqkOc4q9oUmW1yo/edit?usp=sharing"",""เชียงใหม่!M281"")"),186763)</f>
        <v>186763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IFERROR(__xludf.DUMMYFUNCTION("IMPORTRANGE(""https://docs.google.com/spreadsheets/d/11923uPwbBZFjjGgGUA6NLw09EwE0CqkOc4q9oUmW1yo/edit?usp=sharing"",""เชียงใหม่!M282"")"),0)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IFERROR(__xludf.DUMMYFUNCTION("IMPORTRANGE(""https://docs.google.com/spreadsheets/d/11923uPwbBZFjjGgGUA6NLw09EwE0CqkOc4q9oUmW1yo/edit?usp=sharing"",""เชียงใหม่!M283"")"),103225.58)</f>
        <v>103225.58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IFERROR(__xludf.DUMMYFUNCTION("IMPORTRANGE(""https://docs.google.com/spreadsheets/d/11923uPwbBZFjjGgGUA6NLw09EwE0CqkOc4q9oUmW1yo/edit?usp=sharing"",""เชียงใหม่!M284"")"),17137)</f>
        <v>17137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IFERROR(__xludf.DUMMYFUNCTION("IMPORTRANGE(""https://docs.google.com/spreadsheets/d/11923uPwbBZFjjGgGUA6NLw09EwE0CqkOc4q9oUmW1yo/edit?usp=sharing"",""เชียงใหม่!J286"")"),0)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IFERROR(__xludf.DUMMYFUNCTION("IMPORTRANGE(""https://docs.google.com/spreadsheets/d/11923uPwbBZFjjGgGUA6NLw09EwE0CqkOc4q9oUmW1yo/edit?usp=sharing"",""เชียงใหม่!J287"")"),1)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IFERROR(__xludf.DUMMYFUNCTION("IMPORTRANGE(""https://docs.google.com/spreadsheets/d/11923uPwbBZFjjGgGUA6NLw09EwE0CqkOc4q9oUmW1yo/edit?usp=sharing"",""เชียงใหม่!J288"")"),1)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IFERROR(__xludf.DUMMYFUNCTION("IMPORTRANGE(""https://docs.google.com/spreadsheets/d/11923uPwbBZFjjGgGUA6NLw09EwE0CqkOc4q9oUmW1yo/edit?usp=sharing"",""เชียงใหม่!J289"")"),1)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IFERROR(__xludf.DUMMYFUNCTION("IMPORTRANGE(""https://docs.google.com/spreadsheets/d/11923uPwbBZFjjGgGUA6NLw09EwE0CqkOc4q9oUmW1yo/edit?usp=sharing"",""เชียงใหม่!I291"")"),100)</f>
        <v>100</v>
      </c>
      <c r="J396" s="197">
        <f ca="1">IFERROR(__xludf.DUMMYFUNCTION("IMPORTRANGE(""https://docs.google.com/spreadsheets/d/11923uPwbBZFjjGgGUA6NLw09EwE0CqkOc4q9oUmW1yo/edit?usp=sharing"",""เชียงใหม่!J291"")"),100)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IFERROR(__xludf.DUMMYFUNCTION("IMPORTRANGE(""https://docs.google.com/spreadsheets/d/11923uPwbBZFjjGgGUA6NLw09EwE0CqkOc4q9oUmW1yo/edit?usp=sharing"",""เชียงใหม่!I292"")"),1000)</f>
        <v>1000</v>
      </c>
      <c r="J397" s="197">
        <f ca="1">IFERROR(__xludf.DUMMYFUNCTION("IMPORTRANGE(""https://docs.google.com/spreadsheets/d/11923uPwbBZFjjGgGUA6NLw09EwE0CqkOc4q9oUmW1yo/edit?usp=sharing"",""เชียงใหม่!J292"")"),0)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IFERROR(__xludf.DUMMYFUNCTION("IMPORTRANGE(""https://docs.google.com/spreadsheets/d/11923uPwbBZFjjGgGUA6NLw09EwE0CqkOc4q9oUmW1yo/edit?usp=sharing"",""เชียงใหม่!I293"")"),100)</f>
        <v>100</v>
      </c>
      <c r="J398" s="197">
        <f ca="1">IFERROR(__xludf.DUMMYFUNCTION("IMPORTRANGE(""https://docs.google.com/spreadsheets/d/11923uPwbBZFjjGgGUA6NLw09EwE0CqkOc4q9oUmW1yo/edit?usp=sharing"",""เชียงใหม่!J293"")"),0)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IFERROR(__xludf.DUMMYFUNCTION("IMPORTRANGE(""https://docs.google.com/spreadsheets/d/11923uPwbBZFjjGgGUA6NLw09EwE0CqkOc4q9oUmW1yo/edit?usp=sharing"",""เชียงใหม่!J294"")"),0)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IFERROR(__xludf.DUMMYFUNCTION("IMPORTRANGE(""https://docs.google.com/spreadsheets/d/11923uPwbBZFjjGgGUA6NLw09EwE0CqkOc4q9oUmW1yo/edit?usp=sharing"",""เชียงใหม่!J295"")"),0)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IFERROR(__xludf.DUMMYFUNCTION("IMPORTRANGE(""https://docs.google.com/spreadsheets/d/11923uPwbBZFjjGgGUA6NLw09EwE0CqkOc4q9oUmW1yo/edit?usp=sharing"",""เชียงใหม่!I296"")"),105)</f>
        <v>105</v>
      </c>
      <c r="J401" s="370">
        <f ca="1">IFERROR(__xludf.DUMMYFUNCTION("IMPORTRANGE(""https://docs.google.com/spreadsheets/d/11923uPwbBZFjjGgGUA6NLw09EwE0CqkOc4q9oUmW1yo/edit?usp=sharing"",""เชียงใหม่!J296"")"),105)</f>
        <v>105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IFERROR(__xludf.DUMMYFUNCTION("IMPORTRANGE(""https://docs.google.com/spreadsheets/d/11923uPwbBZFjjGgGUA6NLw09EwE0CqkOc4q9oUmW1yo/edit?usp=sharing"",""เชียงใหม่!L296"")"),131710)</f>
        <v>131710</v>
      </c>
      <c r="M401" s="372"/>
      <c r="N401" s="372">
        <f ca="1">IFERROR(__xludf.DUMMYFUNCTION("IMPORTRANGE(""https://docs.google.com/spreadsheets/d/11923uPwbBZFjjGgGUA6NLw09EwE0CqkOc4q9oUmW1yo/edit?usp=sharing"",""เชียงใหม่!M296"")"),122235)</f>
        <v>122235</v>
      </c>
      <c r="O401" s="372">
        <f ca="1">+IF(L401&gt;0,N401*100/L401,0)</f>
        <v>92.806165059600644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IFERROR(__xludf.DUMMYFUNCTION("IMPORTRANGE(""https://docs.google.com/spreadsheets/d/11923uPwbBZFjjGgGUA6NLw09EwE0CqkOc4q9oUmW1yo/edit?usp=sharing"",""เชียงใหม่!I297"")"),35)</f>
        <v>35</v>
      </c>
      <c r="J402" s="370">
        <f ca="1">IFERROR(__xludf.DUMMYFUNCTION("IMPORTRANGE(""https://docs.google.com/spreadsheets/d/11923uPwbBZFjjGgGUA6NLw09EwE0CqkOc4q9oUmW1yo/edit?usp=sharing"",""เชียงใหม่!J297"")"),35)</f>
        <v>35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IFERROR(__xludf.DUMMYFUNCTION("IMPORTRANGE(""https://docs.google.com/spreadsheets/d/11923uPwbBZFjjGgGUA6NLw09EwE0CqkOc4q9oUmW1yo/edit?usp=sharing"",""เชียงใหม่!L298"")"),0)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IFERROR(__xludf.DUMMYFUNCTION("IMPORTRANGE(""https://docs.google.com/spreadsheets/d/11923uPwbBZFjjGgGUA6NLw09EwE0CqkOc4q9oUmW1yo/edit?usp=sharing"",""เชียงใหม่!M298"")"),0)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IFERROR(__xludf.DUMMYFUNCTION("IMPORTRANGE(""https://docs.google.com/spreadsheets/d/11923uPwbBZFjjGgGUA6NLw09EwE0CqkOc4q9oUmW1yo/edit?usp=sharing"",""เชียงใหม่!L299"")"),131710)</f>
        <v>131710</v>
      </c>
      <c r="M404" s="165"/>
      <c r="N404" s="168">
        <f ca="1">IFERROR(__xludf.DUMMYFUNCTION("IMPORTRANGE(""https://docs.google.com/spreadsheets/d/11923uPwbBZFjjGgGUA6NLw09EwE0CqkOc4q9oUmW1yo/edit?usp=sharing"",""เชียงใหม่!M299"")"),122235)</f>
        <v>122235</v>
      </c>
      <c r="O404" s="168">
        <f t="shared" ca="1" si="112"/>
        <v>92.806165059600644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IFERROR(__xludf.DUMMYFUNCTION("IMPORTRANGE(""https://docs.google.com/spreadsheets/d/11923uPwbBZFjjGgGUA6NLw09EwE0CqkOc4q9oUmW1yo/edit?usp=sharing"",""เชียงใหม่!L300"")"),0)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IFERROR(__xludf.DUMMYFUNCTION("IMPORTRANGE(""https://docs.google.com/spreadsheets/d/11923uPwbBZFjjGgGUA6NLw09EwE0CqkOc4q9oUmW1yo/edit?usp=sharing"",""เชียงใหม่!M300"")"),0)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IFERROR(__xludf.DUMMYFUNCTION("IMPORTRANGE(""https://docs.google.com/spreadsheets/d/11923uPwbBZFjjGgGUA6NLw09EwE0CqkOc4q9oUmW1yo/edit?usp=sharing"",""เชียงใหม่!L301"")"),131710)</f>
        <v>131710</v>
      </c>
      <c r="M406" s="168"/>
      <c r="N406" s="168">
        <f ca="1">IFERROR(__xludf.DUMMYFUNCTION("IMPORTRANGE(""https://docs.google.com/spreadsheets/d/11923uPwbBZFjjGgGUA6NLw09EwE0CqkOc4q9oUmW1yo/edit?usp=sharing"",""เชียงใหม่!M301"")"),122235)</f>
        <v>122235</v>
      </c>
      <c r="O406" s="168">
        <f t="shared" ca="1" si="112"/>
        <v>92.806165059600644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IFERROR(__xludf.DUMMYFUNCTION("IMPORTRANGE(""https://docs.google.com/spreadsheets/d/11923uPwbBZFjjGgGUA6NLw09EwE0CqkOc4q9oUmW1yo/edit?usp=sharing"",""เชียงใหม่!M302"")"),77225)</f>
        <v>77225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IFERROR(__xludf.DUMMYFUNCTION("IMPORTRANGE(""https://docs.google.com/spreadsheets/d/11923uPwbBZFjjGgGUA6NLw09EwE0CqkOc4q9oUmW1yo/edit?usp=sharing"",""เชียงใหม่!M303"")"),25500)</f>
        <v>25500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IFERROR(__xludf.DUMMYFUNCTION("IMPORTRANGE(""https://docs.google.com/spreadsheets/d/11923uPwbBZFjjGgGUA6NLw09EwE0CqkOc4q9oUmW1yo/edit?usp=sharing"",""เชียงใหม่!M304"")"),0)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IFERROR(__xludf.DUMMYFUNCTION("IMPORTRANGE(""https://docs.google.com/spreadsheets/d/11923uPwbBZFjjGgGUA6NLw09EwE0CqkOc4q9oUmW1yo/edit?usp=sharing"",""เชียงใหม่!M305"")"),19510)</f>
        <v>19510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IFERROR(__xludf.DUMMYFUNCTION("IMPORTRANGE(""https://docs.google.com/spreadsheets/d/11923uPwbBZFjjGgGUA6NLw09EwE0CqkOc4q9oUmW1yo/edit?usp=sharing"",""เชียงใหม่!J307"")"),0)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IFERROR(__xludf.DUMMYFUNCTION("IMPORTRANGE(""https://docs.google.com/spreadsheets/d/11923uPwbBZFjjGgGUA6NLw09EwE0CqkOc4q9oUmW1yo/edit?usp=sharing"",""เชียงใหม่!J308"")"),1)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IFERROR(__xludf.DUMMYFUNCTION("IMPORTRANGE(""https://docs.google.com/spreadsheets/d/11923uPwbBZFjjGgGUA6NLw09EwE0CqkOc4q9oUmW1yo/edit?usp=sharing"",""เชียงใหม่!J309"")"),1)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IFERROR(__xludf.DUMMYFUNCTION("IMPORTRANGE(""https://docs.google.com/spreadsheets/d/11923uPwbBZFjjGgGUA6NLw09EwE0CqkOc4q9oUmW1yo/edit?usp=sharing"",""เชียงใหม่!J310"")"),1)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IFERROR(__xludf.DUMMYFUNCTION("IMPORTRANGE(""https://docs.google.com/spreadsheets/d/11923uPwbBZFjjGgGUA6NLw09EwE0CqkOc4q9oUmW1yo/edit?usp=sharing"",""เชียงใหม่!I311"")"),35)</f>
        <v>35</v>
      </c>
      <c r="J416" s="200">
        <f ca="1">IFERROR(__xludf.DUMMYFUNCTION("IMPORTRANGE(""https://docs.google.com/spreadsheets/d/11923uPwbBZFjjGgGUA6NLw09EwE0CqkOc4q9oUmW1yo/edit?usp=sharing"",""เชียงใหม่!J311"")"),35)</f>
        <v>35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IFERROR(__xludf.DUMMYFUNCTION("IMPORTRANGE(""https://docs.google.com/spreadsheets/d/11923uPwbBZFjjGgGUA6NLw09EwE0CqkOc4q9oUmW1yo/edit?usp=sharing"",""เชียงใหม่!I312"")"),10)</f>
        <v>10</v>
      </c>
      <c r="J417" s="391">
        <f ca="1">IFERROR(__xludf.DUMMYFUNCTION("IMPORTRANGE(""https://docs.google.com/spreadsheets/d/11923uPwbBZFjjGgGUA6NLw09EwE0CqkOc4q9oUmW1yo/edit?usp=sharing"",""เชียงใหม่!J312"")"),10)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IFERROR(__xludf.DUMMYFUNCTION("IMPORTRANGE(""https://docs.google.com/spreadsheets/d/11923uPwbBZFjjGgGUA6NLw09EwE0CqkOc4q9oUmW1yo/edit?usp=sharing"",""เชียงใหม่!I313"")"),30)</f>
        <v>30</v>
      </c>
      <c r="J418" s="392">
        <f ca="1">IFERROR(__xludf.DUMMYFUNCTION("IMPORTRANGE(""https://docs.google.com/spreadsheets/d/11923uPwbBZFjjGgGUA6NLw09EwE0CqkOc4q9oUmW1yo/edit?usp=sharing"",""เชียงใหม่!J313"")"),30)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IFERROR(__xludf.DUMMYFUNCTION("IMPORTRANGE(""https://docs.google.com/spreadsheets/d/11923uPwbBZFjjGgGUA6NLw09EwE0CqkOc4q9oUmW1yo/edit?usp=sharing"",""เชียงใหม่!I314"")"),10)</f>
        <v>10</v>
      </c>
      <c r="J419" s="393">
        <f ca="1">IFERROR(__xludf.DUMMYFUNCTION("IMPORTRANGE(""https://docs.google.com/spreadsheets/d/11923uPwbBZFjjGgGUA6NLw09EwE0CqkOc4q9oUmW1yo/edit?usp=sharing"",""เชียงใหม่!J314"")"),10)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IFERROR(__xludf.DUMMYFUNCTION("IMPORTRANGE(""https://docs.google.com/spreadsheets/d/11923uPwbBZFjjGgGUA6NLw09EwE0CqkOc4q9oUmW1yo/edit?usp=sharing"",""เชียงใหม่!I315"")"),10)</f>
        <v>10</v>
      </c>
      <c r="J420" s="393">
        <f ca="1">IFERROR(__xludf.DUMMYFUNCTION("IMPORTRANGE(""https://docs.google.com/spreadsheets/d/11923uPwbBZFjjGgGUA6NLw09EwE0CqkOc4q9oUmW1yo/edit?usp=sharing"",""เชียงใหม่!J315"")"),10)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IFERROR(__xludf.DUMMYFUNCTION("IMPORTRANGE(""https://docs.google.com/spreadsheets/d/11923uPwbBZFjjGgGUA6NLw09EwE0CqkOc4q9oUmW1yo/edit?usp=sharing"",""เชียงใหม่!I316"")"),15)</f>
        <v>15</v>
      </c>
      <c r="J421" s="391">
        <f ca="1">IFERROR(__xludf.DUMMYFUNCTION("IMPORTRANGE(""https://docs.google.com/spreadsheets/d/11923uPwbBZFjjGgGUA6NLw09EwE0CqkOc4q9oUmW1yo/edit?usp=sharing"",""เชียงใหม่!J316"")"),15)</f>
        <v>15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IFERROR(__xludf.DUMMYFUNCTION("IMPORTRANGE(""https://docs.google.com/spreadsheets/d/11923uPwbBZFjjGgGUA6NLw09EwE0CqkOc4q9oUmW1yo/edit?usp=sharing"",""เชียงใหม่!I317"")"),45)</f>
        <v>45</v>
      </c>
      <c r="J422" s="392">
        <f ca="1">IFERROR(__xludf.DUMMYFUNCTION("IMPORTRANGE(""https://docs.google.com/spreadsheets/d/11923uPwbBZFjjGgGUA6NLw09EwE0CqkOc4q9oUmW1yo/edit?usp=sharing"",""เชียงใหม่!J317"")"),45)</f>
        <v>45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IFERROR(__xludf.DUMMYFUNCTION("IMPORTRANGE(""https://docs.google.com/spreadsheets/d/11923uPwbBZFjjGgGUA6NLw09EwE0CqkOc4q9oUmW1yo/edit?usp=sharing"",""เชียงใหม่!I318"")"),15)</f>
        <v>15</v>
      </c>
      <c r="J423" s="393">
        <f ca="1">IFERROR(__xludf.DUMMYFUNCTION("IMPORTRANGE(""https://docs.google.com/spreadsheets/d/11923uPwbBZFjjGgGUA6NLw09EwE0CqkOc4q9oUmW1yo/edit?usp=sharing"",""เชียงใหม่!J318"")"),15)</f>
        <v>15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IFERROR(__xludf.DUMMYFUNCTION("IMPORTRANGE(""https://docs.google.com/spreadsheets/d/11923uPwbBZFjjGgGUA6NLw09EwE0CqkOc4q9oUmW1yo/edit?usp=sharing"",""เชียงใหม่!I319"")"),15)</f>
        <v>15</v>
      </c>
      <c r="J424" s="393">
        <f ca="1">IFERROR(__xludf.DUMMYFUNCTION("IMPORTRANGE(""https://docs.google.com/spreadsheets/d/11923uPwbBZFjjGgGUA6NLw09EwE0CqkOc4q9oUmW1yo/edit?usp=sharing"",""เชียงใหม่!J319"")"),15)</f>
        <v>15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IFERROR(__xludf.DUMMYFUNCTION("IMPORTRANGE(""https://docs.google.com/spreadsheets/d/11923uPwbBZFjjGgGUA6NLw09EwE0CqkOc4q9oUmW1yo/edit?usp=sharing"",""เชียงใหม่!I320"")"),15)</f>
        <v>15</v>
      </c>
      <c r="J425" s="393">
        <f ca="1">IFERROR(__xludf.DUMMYFUNCTION("IMPORTRANGE(""https://docs.google.com/spreadsheets/d/11923uPwbBZFjjGgGUA6NLw09EwE0CqkOc4q9oUmW1yo/edit?usp=sharing"",""เชียงใหม่!J320"")"),15)</f>
        <v>15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IFERROR(__xludf.DUMMYFUNCTION("IMPORTRANGE(""https://docs.google.com/spreadsheets/d/11923uPwbBZFjjGgGUA6NLw09EwE0CqkOc4q9oUmW1yo/edit?usp=sharing"",""เชียงใหม่!I321"")"),10)</f>
        <v>10</v>
      </c>
      <c r="J426" s="391">
        <f ca="1">IFERROR(__xludf.DUMMYFUNCTION("IMPORTRANGE(""https://docs.google.com/spreadsheets/d/11923uPwbBZFjjGgGUA6NLw09EwE0CqkOc4q9oUmW1yo/edit?usp=sharing"",""เชียงใหม่!J321"")"),10)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IFERROR(__xludf.DUMMYFUNCTION("IMPORTRANGE(""https://docs.google.com/spreadsheets/d/11923uPwbBZFjjGgGUA6NLw09EwE0CqkOc4q9oUmW1yo/edit?usp=sharing"",""เชียงใหม่!I322"")"),30)</f>
        <v>30</v>
      </c>
      <c r="J427" s="392">
        <f ca="1">IFERROR(__xludf.DUMMYFUNCTION("IMPORTRANGE(""https://docs.google.com/spreadsheets/d/11923uPwbBZFjjGgGUA6NLw09EwE0CqkOc4q9oUmW1yo/edit?usp=sharing"",""เชียงใหม่!J322"")"),30)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IFERROR(__xludf.DUMMYFUNCTION("IMPORTRANGE(""https://docs.google.com/spreadsheets/d/11923uPwbBZFjjGgGUA6NLw09EwE0CqkOc4q9oUmW1yo/edit?usp=sharing"",""เชียงใหม่!I323"")"),10)</f>
        <v>10</v>
      </c>
      <c r="J428" s="393">
        <f ca="1">IFERROR(__xludf.DUMMYFUNCTION("IMPORTRANGE(""https://docs.google.com/spreadsheets/d/11923uPwbBZFjjGgGUA6NLw09EwE0CqkOc4q9oUmW1yo/edit?usp=sharing"",""เชียงใหม่!J323"")"),10)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IFERROR(__xludf.DUMMYFUNCTION("IMPORTRANGE(""https://docs.google.com/spreadsheets/d/11923uPwbBZFjjGgGUA6NLw09EwE0CqkOc4q9oUmW1yo/edit?usp=sharing"",""เชียงใหม่!I324"")"),10)</f>
        <v>10</v>
      </c>
      <c r="J429" s="393">
        <f ca="1">IFERROR(__xludf.DUMMYFUNCTION("IMPORTRANGE(""https://docs.google.com/spreadsheets/d/11923uPwbBZFjjGgGUA6NLw09EwE0CqkOc4q9oUmW1yo/edit?usp=sharing"",""เชียงใหม่!J324"")"),10)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IFERROR(__xludf.DUMMYFUNCTION("IMPORTRANGE(""https://docs.google.com/spreadsheets/d/11923uPwbBZFjjGgGUA6NLw09EwE0CqkOc4q9oUmW1yo/edit?usp=sharing"",""เชียงใหม่!I325"")"),25)</f>
        <v>25</v>
      </c>
      <c r="J430" s="391">
        <f ca="1">IFERROR(__xludf.DUMMYFUNCTION("IMPORTRANGE(""https://docs.google.com/spreadsheets/d/11923uPwbBZFjjGgGUA6NLw09EwE0CqkOc4q9oUmW1yo/edit?usp=sharing"",""เชียงใหม่!J325"")"),25)</f>
        <v>25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IFERROR(__xludf.DUMMYFUNCTION("IMPORTRANGE(""https://docs.google.com/spreadsheets/d/11923uPwbBZFjjGgGUA6NLw09EwE0CqkOc4q9oUmW1yo/edit?usp=sharing"",""เชียงใหม่!I326"")"),10)</f>
        <v>10</v>
      </c>
      <c r="J431" s="393">
        <f ca="1">IFERROR(__xludf.DUMMYFUNCTION("IMPORTRANGE(""https://docs.google.com/spreadsheets/d/11923uPwbBZFjjGgGUA6NLw09EwE0CqkOc4q9oUmW1yo/edit?usp=sharing"",""เชียงใหม่!J326"")"),10)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IFERROR(__xludf.DUMMYFUNCTION("IMPORTRANGE(""https://docs.google.com/spreadsheets/d/11923uPwbBZFjjGgGUA6NLw09EwE0CqkOc4q9oUmW1yo/edit?usp=sharing"",""เชียงใหม่!I327"")"),15)</f>
        <v>15</v>
      </c>
      <c r="J432" s="393">
        <f ca="1">IFERROR(__xludf.DUMMYFUNCTION("IMPORTRANGE(""https://docs.google.com/spreadsheets/d/11923uPwbBZFjjGgGUA6NLw09EwE0CqkOc4q9oUmW1yo/edit?usp=sharing"",""เชียงใหม่!J327"")"),15)</f>
        <v>15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IFERROR(__xludf.DUMMYFUNCTION("IMPORTRANGE(""https://docs.google.com/spreadsheets/d/11923uPwbBZFjjGgGUA6NLw09EwE0CqkOc4q9oUmW1yo/edit?usp=sharing"",""เชียงใหม่!J328"")"),0)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IFERROR(__xludf.DUMMYFUNCTION("IMPORTRANGE(""https://docs.google.com/spreadsheets/d/11923uPwbBZFjjGgGUA6NLw09EwE0CqkOc4q9oUmW1yo/edit?usp=sharing"",""เชียงใหม่!J329"")"),0)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IFERROR(__xludf.DUMMYFUNCTION("IMPORTRANGE(""https://docs.google.com/spreadsheets/d/11923uPwbBZFjjGgGUA6NLw09EwE0CqkOc4q9oUmW1yo/edit?usp=sharing"",""เชียงใหม่!I330"")"),20)</f>
        <v>20</v>
      </c>
      <c r="J435" s="409">
        <f ca="1">IFERROR(__xludf.DUMMYFUNCTION("IMPORTRANGE(""https://docs.google.com/spreadsheets/d/11923uPwbBZFjjGgGUA6NLw09EwE0CqkOc4q9oUmW1yo/edit?usp=sharing"",""เชียงใหม่!J330"")"),20)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IFERROR(__xludf.DUMMYFUNCTION("IMPORTRANGE(""https://docs.google.com/spreadsheets/d/11923uPwbBZFjjGgGUA6NLw09EwE0CqkOc4q9oUmW1yo/edit?usp=sharing"",""เชียงใหม่!L330"")"),100000)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IFERROR(__xludf.DUMMYFUNCTION("IMPORTRANGE(""https://docs.google.com/spreadsheets/d/11923uPwbBZFjjGgGUA6NLw09EwE0CqkOc4q9oUmW1yo/edit?usp=sharing"",""เชียงใหม่!M330"")"),72640)</f>
        <v>72640</v>
      </c>
      <c r="O435" s="411">
        <f t="shared" ref="O435:O439" ca="1" si="114">+IF(L435&gt;0,N435*100/L435,0)</f>
        <v>72.64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IFERROR(__xludf.DUMMYFUNCTION("IMPORTRANGE(""https://docs.google.com/spreadsheets/d/11923uPwbBZFjjGgGUA6NLw09EwE0CqkOc4q9oUmW1yo/edit?usp=sharing"",""เชียงใหม่!L331"")"),0)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IFERROR(__xludf.DUMMYFUNCTION("IMPORTRANGE(""https://docs.google.com/spreadsheets/d/11923uPwbBZFjjGgGUA6NLw09EwE0CqkOc4q9oUmW1yo/edit?usp=sharing"",""เชียงใหม่!M331"")"),0)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IFERROR(__xludf.DUMMYFUNCTION("IMPORTRANGE(""https://docs.google.com/spreadsheets/d/11923uPwbBZFjjGgGUA6NLw09EwE0CqkOc4q9oUmW1yo/edit?usp=sharing"",""เชียงใหม่!L332"")"),100000)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IFERROR(__xludf.DUMMYFUNCTION("IMPORTRANGE(""https://docs.google.com/spreadsheets/d/11923uPwbBZFjjGgGUA6NLw09EwE0CqkOc4q9oUmW1yo/edit?usp=sharing"",""เชียงใหม่!M332"")"),72640)</f>
        <v>72640</v>
      </c>
      <c r="O437" s="168">
        <f t="shared" ca="1" si="114"/>
        <v>72.64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IFERROR(__xludf.DUMMYFUNCTION("IMPORTRANGE(""https://docs.google.com/spreadsheets/d/11923uPwbBZFjjGgGUA6NLw09EwE0CqkOc4q9oUmW1yo/edit?usp=sharing"",""เชียงใหม่!L333"")"),0)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IFERROR(__xludf.DUMMYFUNCTION("IMPORTRANGE(""https://docs.google.com/spreadsheets/d/11923uPwbBZFjjGgGUA6NLw09EwE0CqkOc4q9oUmW1yo/edit?usp=sharing"",""เชียงใหม่!M333"")"),0)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IFERROR(__xludf.DUMMYFUNCTION("IMPORTRANGE(""https://docs.google.com/spreadsheets/d/11923uPwbBZFjjGgGUA6NLw09EwE0CqkOc4q9oUmW1yo/edit?usp=sharing"",""เชียงใหม่!L334"")"),100000)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IFERROR(__xludf.DUMMYFUNCTION("IMPORTRANGE(""https://docs.google.com/spreadsheets/d/11923uPwbBZFjjGgGUA6NLw09EwE0CqkOc4q9oUmW1yo/edit?usp=sharing"",""เชียงใหม่!M334"")"),72640)</f>
        <v>72640</v>
      </c>
      <c r="O439" s="168">
        <f t="shared" ca="1" si="114"/>
        <v>72.64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IFERROR(__xludf.DUMMYFUNCTION("IMPORTRANGE(""https://docs.google.com/spreadsheets/d/11923uPwbBZFjjGgGUA6NLw09EwE0CqkOc4q9oUmW1yo/edit?usp=sharing"",""เชียงใหม่!M335"")"),53690)</f>
        <v>53690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IFERROR(__xludf.DUMMYFUNCTION("IMPORTRANGE(""https://docs.google.com/spreadsheets/d/11923uPwbBZFjjGgGUA6NLw09EwE0CqkOc4q9oUmW1yo/edit?usp=sharing"",""เชียงใหม่!M336"")"),0)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IFERROR(__xludf.DUMMYFUNCTION("IMPORTRANGE(""https://docs.google.com/spreadsheets/d/11923uPwbBZFjjGgGUA6NLw09EwE0CqkOc4q9oUmW1yo/edit?usp=sharing"",""เชียงใหม่!M337"")"),0)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IFERROR(__xludf.DUMMYFUNCTION("IMPORTRANGE(""https://docs.google.com/spreadsheets/d/11923uPwbBZFjjGgGUA6NLw09EwE0CqkOc4q9oUmW1yo/edit?usp=sharing"",""เชียงใหม่!M338"")"),18950)</f>
        <v>18950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IFERROR(__xludf.DUMMYFUNCTION("IMPORTRANGE(""https://docs.google.com/spreadsheets/d/11923uPwbBZFjjGgGUA6NLw09EwE0CqkOc4q9oUmW1yo/edit?usp=sharing"",""เชียงใหม่!J340"")"),0)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IFERROR(__xludf.DUMMYFUNCTION("IMPORTRANGE(""https://docs.google.com/spreadsheets/d/11923uPwbBZFjjGgGUA6NLw09EwE0CqkOc4q9oUmW1yo/edit?usp=sharing"",""เชียงใหม่!J341"")"),1)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IFERROR(__xludf.DUMMYFUNCTION("IMPORTRANGE(""https://docs.google.com/spreadsheets/d/11923uPwbBZFjjGgGUA6NLw09EwE0CqkOc4q9oUmW1yo/edit?usp=sharing"",""เชียงใหม่!J342"")"),1)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IFERROR(__xludf.DUMMYFUNCTION("IMPORTRANGE(""https://docs.google.com/spreadsheets/d/11923uPwbBZFjjGgGUA6NLw09EwE0CqkOc4q9oUmW1yo/edit?usp=sharing"",""เชียงใหม่!J343"")"),1)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IFERROR(__xludf.DUMMYFUNCTION("IMPORTRANGE(""https://docs.google.com/spreadsheets/d/11923uPwbBZFjjGgGUA6NLw09EwE0CqkOc4q9oUmW1yo/edit?usp=sharing"",""เชียงใหม่!I344"")"),20)</f>
        <v>20</v>
      </c>
      <c r="J449" s="200">
        <f ca="1">IFERROR(__xludf.DUMMYFUNCTION("IMPORTRANGE(""https://docs.google.com/spreadsheets/d/11923uPwbBZFjjGgGUA6NLw09EwE0CqkOc4q9oUmW1yo/edit?usp=sharing"",""เชียงใหม่!J344"")"),20)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IFERROR(__xludf.DUMMYFUNCTION("IMPORTRANGE(""https://docs.google.com/spreadsheets/d/11923uPwbBZFjjGgGUA6NLw09EwE0CqkOc4q9oUmW1yo/edit?usp=sharing"",""เชียงใหม่!I345"")"),20)</f>
        <v>20</v>
      </c>
      <c r="J450" s="188">
        <f ca="1">IFERROR(__xludf.DUMMYFUNCTION("IMPORTRANGE(""https://docs.google.com/spreadsheets/d/11923uPwbBZFjjGgGUA6NLw09EwE0CqkOc4q9oUmW1yo/edit?usp=sharing"",""เชียงใหม่!J345"")"),20)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IFERROR(__xludf.DUMMYFUNCTION("IMPORTRANGE(""https://docs.google.com/spreadsheets/d/11923uPwbBZFjjGgGUA6NLw09EwE0CqkOc4q9oUmW1yo/edit?usp=sharing"",""เชียงใหม่!I346"")"),0)</f>
        <v>0</v>
      </c>
      <c r="J451" s="187">
        <f ca="1">IFERROR(__xludf.DUMMYFUNCTION("IMPORTRANGE(""https://docs.google.com/spreadsheets/d/11923uPwbBZFjjGgGUA6NLw09EwE0CqkOc4q9oUmW1yo/edit?usp=sharing"",""เชียงใหม่!J346"")"),0)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IFERROR(__xludf.DUMMYFUNCTION("IMPORTRANGE(""https://docs.google.com/spreadsheets/d/11923uPwbBZFjjGgGUA6NLw09EwE0CqkOc4q9oUmW1yo/edit?usp=sharing"",""เชียงใหม่!I347"")"),0)</f>
        <v>0</v>
      </c>
      <c r="J452" s="187">
        <f ca="1">IFERROR(__xludf.DUMMYFUNCTION("IMPORTRANGE(""https://docs.google.com/spreadsheets/d/11923uPwbBZFjjGgGUA6NLw09EwE0CqkOc4q9oUmW1yo/edit?usp=sharing"",""เชียงใหม่!J347"")"),0)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IFERROR(__xludf.DUMMYFUNCTION("IMPORTRANGE(""https://docs.google.com/spreadsheets/d/11923uPwbBZFjjGgGUA6NLw09EwE0CqkOc4q9oUmW1yo/edit?usp=sharing"",""เชียงใหม่!J348"")"),0)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IFERROR(__xludf.DUMMYFUNCTION("IMPORTRANGE(""https://docs.google.com/spreadsheets/d/11923uPwbBZFjjGgGUA6NLw09EwE0CqkOc4q9oUmW1yo/edit?usp=sharing"",""เชียงใหม่!J349"")"),0)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IFERROR(__xludf.DUMMYFUNCTION("IMPORTRANGE(""https://docs.google.com/spreadsheets/d/11923uPwbBZFjjGgGUA6NLw09EwE0CqkOc4q9oUmW1yo/edit?usp=sharing"",""เชียงใหม่!I350"")"),19467)</f>
        <v>19467</v>
      </c>
      <c r="J455" s="370">
        <f ca="1">IFERROR(__xludf.DUMMYFUNCTION("IMPORTRANGE(""https://docs.google.com/spreadsheets/d/11923uPwbBZFjjGgGUA6NLw09EwE0CqkOc4q9oUmW1yo/edit?usp=sharing"",""เชียงใหม่!J350"")"),19467.12)</f>
        <v>19467.12</v>
      </c>
      <c r="K455" s="371">
        <f ca="1">IF(I455&gt;0,J455*100/I455,0)</f>
        <v>100.00061642780089</v>
      </c>
      <c r="L455" s="372">
        <f ca="1">IFERROR(__xludf.DUMMYFUNCTION("IMPORTRANGE(""https://docs.google.com/spreadsheets/d/11923uPwbBZFjjGgGUA6NLw09EwE0CqkOc4q9oUmW1yo/edit?usp=sharing"",""เชียงใหม่!L350"")"),520639)</f>
        <v>520639</v>
      </c>
      <c r="M455" s="372"/>
      <c r="N455" s="372">
        <f ca="1">IFERROR(__xludf.DUMMYFUNCTION("IMPORTRANGE(""https://docs.google.com/spreadsheets/d/11923uPwbBZFjjGgGUA6NLw09EwE0CqkOc4q9oUmW1yo/edit?usp=sharing"",""เชียงใหม่!M350"")"),290662.91)</f>
        <v>290662.90999999997</v>
      </c>
      <c r="O455" s="372">
        <f t="shared" ref="O455:O459" ca="1" si="116">+IF(L455&gt;0,N455*100/L455,0)</f>
        <v>55.828109304143553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IFERROR(__xludf.DUMMYFUNCTION("IMPORTRANGE(""https://docs.google.com/spreadsheets/d/11923uPwbBZFjjGgGUA6NLw09EwE0CqkOc4q9oUmW1yo/edit?usp=sharing"",""เชียงใหม่!L351"")"),0)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IFERROR(__xludf.DUMMYFUNCTION("IMPORTRANGE(""https://docs.google.com/spreadsheets/d/11923uPwbBZFjjGgGUA6NLw09EwE0CqkOc4q9oUmW1yo/edit?usp=sharing"",""เชียงใหม่!M351"")"),0)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IFERROR(__xludf.DUMMYFUNCTION("IMPORTRANGE(""https://docs.google.com/spreadsheets/d/11923uPwbBZFjjGgGUA6NLw09EwE0CqkOc4q9oUmW1yo/edit?usp=sharing"",""เชียงใหม่!L352"")"),520639)</f>
        <v>520639</v>
      </c>
      <c r="M457" s="165"/>
      <c r="N457" s="168">
        <f ca="1">IFERROR(__xludf.DUMMYFUNCTION("IMPORTRANGE(""https://docs.google.com/spreadsheets/d/11923uPwbBZFjjGgGUA6NLw09EwE0CqkOc4q9oUmW1yo/edit?usp=sharing"",""เชียงใหม่!M352"")"),290662.91)</f>
        <v>290662.90999999997</v>
      </c>
      <c r="O457" s="168">
        <f t="shared" ca="1" si="116"/>
        <v>55.828109304143553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IFERROR(__xludf.DUMMYFUNCTION("IMPORTRANGE(""https://docs.google.com/spreadsheets/d/11923uPwbBZFjjGgGUA6NLw09EwE0CqkOc4q9oUmW1yo/edit?usp=sharing"",""เชียงใหม่!L353"")"),0)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IFERROR(__xludf.DUMMYFUNCTION("IMPORTRANGE(""https://docs.google.com/spreadsheets/d/11923uPwbBZFjjGgGUA6NLw09EwE0CqkOc4q9oUmW1yo/edit?usp=sharing"",""เชียงใหม่!M353"")"),0)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IFERROR(__xludf.DUMMYFUNCTION("IMPORTRANGE(""https://docs.google.com/spreadsheets/d/11923uPwbBZFjjGgGUA6NLw09EwE0CqkOc4q9oUmW1yo/edit?usp=sharing"",""เชียงใหม่!L354"")"),520639)</f>
        <v>520639</v>
      </c>
      <c r="M459" s="168"/>
      <c r="N459" s="168">
        <f ca="1">IFERROR(__xludf.DUMMYFUNCTION("IMPORTRANGE(""https://docs.google.com/spreadsheets/d/11923uPwbBZFjjGgGUA6NLw09EwE0CqkOc4q9oUmW1yo/edit?usp=sharing"",""เชียงใหม่!M354"")"),290662.91)</f>
        <v>290662.90999999997</v>
      </c>
      <c r="O459" s="168">
        <f t="shared" ca="1" si="116"/>
        <v>55.828109304143553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IFERROR(__xludf.DUMMYFUNCTION("IMPORTRANGE(""https://docs.google.com/spreadsheets/d/11923uPwbBZFjjGgGUA6NLw09EwE0CqkOc4q9oUmW1yo/edit?usp=sharing"",""เชียงใหม่!M355"")"),0)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IFERROR(__xludf.DUMMYFUNCTION("IMPORTRANGE(""https://docs.google.com/spreadsheets/d/11923uPwbBZFjjGgGUA6NLw09EwE0CqkOc4q9oUmW1yo/edit?usp=sharing"",""เชียงใหม่!M356"")"),0)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IFERROR(__xludf.DUMMYFUNCTION("IMPORTRANGE(""https://docs.google.com/spreadsheets/d/11923uPwbBZFjjGgGUA6NLw09EwE0CqkOc4q9oUmW1yo/edit?usp=sharing"",""เชียงใหม่!M357"")"),96858.91)</f>
        <v>96858.91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IFERROR(__xludf.DUMMYFUNCTION("IMPORTRANGE(""https://docs.google.com/spreadsheets/d/11923uPwbBZFjjGgGUA6NLw09EwE0CqkOc4q9oUmW1yo/edit?usp=sharing"",""เชียงใหม่!M358"")"),193804)</f>
        <v>193804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IFERROR(__xludf.DUMMYFUNCTION("IMPORTRANGE(""https://docs.google.com/spreadsheets/d/11923uPwbBZFjjGgGUA6NLw09EwE0CqkOc4q9oUmW1yo/edit?usp=sharing"",""เชียงใหม่!I359"")"),19467)</f>
        <v>19467</v>
      </c>
      <c r="J464" s="267">
        <f ca="1">IFERROR(__xludf.DUMMYFUNCTION("IMPORTRANGE(""https://docs.google.com/spreadsheets/d/11923uPwbBZFjjGgGUA6NLw09EwE0CqkOc4q9oUmW1yo/edit?usp=sharing"",""เชียงใหม่!J359"")"),19467.12)</f>
        <v>19467.12</v>
      </c>
      <c r="K464" s="268">
        <f t="shared" ref="K464:K515" ca="1" si="117">IF(I464&gt;0,J464*100/I464,0)</f>
        <v>100.00061642780089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IFERROR(__xludf.DUMMYFUNCTION("IMPORTRANGE(""https://docs.google.com/spreadsheets/d/11923uPwbBZFjjGgGUA6NLw09EwE0CqkOc4q9oUmW1yo/edit?usp=sharing"",""เชียงใหม่!I360"")"),19467)</f>
        <v>19467</v>
      </c>
      <c r="J465" s="420">
        <f ca="1">IFERROR(__xludf.DUMMYFUNCTION("IMPORTRANGE(""https://docs.google.com/spreadsheets/d/11923uPwbBZFjjGgGUA6NLw09EwE0CqkOc4q9oUmW1yo/edit?usp=sharing"",""เชียงใหม่!J360"")"),19467.63)</f>
        <v>19467.63</v>
      </c>
      <c r="K465" s="201">
        <f t="shared" ca="1" si="117"/>
        <v>100.0032362459547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IFERROR(__xludf.DUMMYFUNCTION("IMPORTRANGE(""https://docs.google.com/spreadsheets/d/11923uPwbBZFjjGgGUA6NLw09EwE0CqkOc4q9oUmW1yo/edit?usp=sharing"",""เชียงใหม่!I361"")"),4394)</f>
        <v>4394</v>
      </c>
      <c r="J466" s="420">
        <f ca="1">IFERROR(__xludf.DUMMYFUNCTION("IMPORTRANGE(""https://docs.google.com/spreadsheets/d/11923uPwbBZFjjGgGUA6NLw09EwE0CqkOc4q9oUmW1yo/edit?usp=sharing"",""เชียงใหม่!J361"")"),4394)</f>
        <v>4394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IFERROR(__xludf.DUMMYFUNCTION("IMPORTRANGE(""https://docs.google.com/spreadsheets/d/11923uPwbBZFjjGgGUA6NLw09EwE0CqkOc4q9oUmW1yo/edit?usp=sharing"",""เชียงใหม่!I362"")"),0)</f>
        <v>0</v>
      </c>
      <c r="J467" s="188">
        <f ca="1">IFERROR(__xludf.DUMMYFUNCTION("IMPORTRANGE(""https://docs.google.com/spreadsheets/d/11923uPwbBZFjjGgGUA6NLw09EwE0CqkOc4q9oUmW1yo/edit?usp=sharing"",""เชียงใหม่!J362"")"),9243)</f>
        <v>9243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IFERROR(__xludf.DUMMYFUNCTION("IMPORTRANGE(""https://docs.google.com/spreadsheets/d/11923uPwbBZFjjGgGUA6NLw09EwE0CqkOc4q9oUmW1yo/edit?usp=sharing"",""เชียงใหม่!I363"")"),0)</f>
        <v>0</v>
      </c>
      <c r="J468" s="188">
        <f ca="1">IFERROR(__xludf.DUMMYFUNCTION("IMPORTRANGE(""https://docs.google.com/spreadsheets/d/11923uPwbBZFjjGgGUA6NLw09EwE0CqkOc4q9oUmW1yo/edit?usp=sharing"",""เชียงใหม่!J363"")"),2379)</f>
        <v>2379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IFERROR(__xludf.DUMMYFUNCTION("IMPORTRANGE(""https://docs.google.com/spreadsheets/d/11923uPwbBZFjjGgGUA6NLw09EwE0CqkOc4q9oUmW1yo/edit?usp=sharing"",""เชียงใหม่!I364"")"),0)</f>
        <v>0</v>
      </c>
      <c r="J469" s="18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IFERROR(__xludf.DUMMYFUNCTION("IMPORTRANGE(""https://docs.google.com/spreadsheets/d/11923uPwbBZFjjGgGUA6NLw09EwE0CqkOc4q9oUmW1yo/edit?usp=sharing"",""เชียงใหม่!I365"")"),0)</f>
        <v>0</v>
      </c>
      <c r="J470" s="188">
        <f ca="1">IFERROR(__xludf.DUMMYFUNCTION("IMPORTRANGE(""https://docs.google.com/spreadsheets/d/11923uPwbBZFjjGgGUA6NLw09EwE0CqkOc4q9oUmW1yo/edit?usp=sharing"",""เชียงใหม่!J365"")"),1953)</f>
        <v>1953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IFERROR(__xludf.DUMMYFUNCTION("IMPORTRANGE(""https://docs.google.com/spreadsheets/d/11923uPwbBZFjjGgGUA6NLw09EwE0CqkOc4q9oUmW1yo/edit?usp=sharing"",""เชียงใหม่!I366"")"),0)</f>
        <v>0</v>
      </c>
      <c r="J471" s="188">
        <f ca="1">IFERROR(__xludf.DUMMYFUNCTION("IMPORTRANGE(""https://docs.google.com/spreadsheets/d/11923uPwbBZFjjGgGUA6NLw09EwE0CqkOc4q9oUmW1yo/edit?usp=sharing"",""เชียงใหม่!J366"")"),204.3)</f>
        <v>204.3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IFERROR(__xludf.DUMMYFUNCTION("IMPORTRANGE(""https://docs.google.com/spreadsheets/d/11923uPwbBZFjjGgGUA6NLw09EwE0CqkOc4q9oUmW1yo/edit?usp=sharing"",""เชียงใหม่!I367"")"),0)</f>
        <v>0</v>
      </c>
      <c r="J472" s="188">
        <f ca="1">IFERROR(__xludf.DUMMYFUNCTION("IMPORTRANGE(""https://docs.google.com/spreadsheets/d/11923uPwbBZFjjGgGUA6NLw09EwE0CqkOc4q9oUmW1yo/edit?usp=sharing"",""เชียงใหม่!J367"")"),62)</f>
        <v>62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IFERROR(__xludf.DUMMYFUNCTION("IMPORTRANGE(""https://docs.google.com/spreadsheets/d/11923uPwbBZFjjGgGUA6NLw09EwE0CqkOc4q9oUmW1yo/edit?usp=sharing"",""เชียงใหม่!I368"")"),19467)</f>
        <v>19467</v>
      </c>
      <c r="J473" s="420">
        <f ca="1">IFERROR(__xludf.DUMMYFUNCTION("IMPORTRANGE(""https://docs.google.com/spreadsheets/d/11923uPwbBZFjjGgGUA6NLw09EwE0CqkOc4q9oUmW1yo/edit?usp=sharing"",""เชียงใหม่!J368"")"),19467.3399999999)</f>
        <v>19467.339999999898</v>
      </c>
      <c r="K473" s="201">
        <f t="shared" ca="1" si="117"/>
        <v>100.00174654543534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IFERROR(__xludf.DUMMYFUNCTION("IMPORTRANGE(""https://docs.google.com/spreadsheets/d/11923uPwbBZFjjGgGUA6NLw09EwE0CqkOc4q9oUmW1yo/edit?usp=sharing"",""เชียงใหม่!I369"")"),4394)</f>
        <v>4394</v>
      </c>
      <c r="J474" s="420">
        <f ca="1">IFERROR(__xludf.DUMMYFUNCTION("IMPORTRANGE(""https://docs.google.com/spreadsheets/d/11923uPwbBZFjjGgGUA6NLw09EwE0CqkOc4q9oUmW1yo/edit?usp=sharing"",""เชียงใหม่!J369"")"),4394)</f>
        <v>4394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IFERROR(__xludf.DUMMYFUNCTION("IMPORTRANGE(""https://docs.google.com/spreadsheets/d/11923uPwbBZFjjGgGUA6NLw09EwE0CqkOc4q9oUmW1yo/edit?usp=sharing"",""เชียงใหม่!I370"")"),0)</f>
        <v>0</v>
      </c>
      <c r="J475" s="188">
        <f ca="1">IFERROR(__xludf.DUMMYFUNCTION("IMPORTRANGE(""https://docs.google.com/spreadsheets/d/11923uPwbBZFjjGgGUA6NLw09EwE0CqkOc4q9oUmW1yo/edit?usp=sharing"",""เชียงใหม่!J370"")"),9321.76)</f>
        <v>9321.76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IFERROR(__xludf.DUMMYFUNCTION("IMPORTRANGE(""https://docs.google.com/spreadsheets/d/11923uPwbBZFjjGgGUA6NLw09EwE0CqkOc4q9oUmW1yo/edit?usp=sharing"",""เชียงใหม่!I371"")"),0)</f>
        <v>0</v>
      </c>
      <c r="J476" s="188">
        <f ca="1">IFERROR(__xludf.DUMMYFUNCTION("IMPORTRANGE(""https://docs.google.com/spreadsheets/d/11923uPwbBZFjjGgGUA6NLw09EwE0CqkOc4q9oUmW1yo/edit?usp=sharing"",""เชียงใหม่!J371"")"),2393)</f>
        <v>2393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IFERROR(__xludf.DUMMYFUNCTION("IMPORTRANGE(""https://docs.google.com/spreadsheets/d/11923uPwbBZFjjGgGUA6NLw09EwE0CqkOc4q9oUmW1yo/edit?usp=sharing"",""เชียงใหม่!I372"")"),0)</f>
        <v>0</v>
      </c>
      <c r="J477" s="188">
        <f ca="1">IFERROR(__xludf.DUMMYFUNCTION("IMPORTRANGE(""https://docs.google.com/spreadsheets/d/11923uPwbBZFjjGgGUA6NLw09EwE0CqkOc4q9oUmW1yo/edit?usp=sharing"",""เชียงใหม่!J372"")"),9937.23)</f>
        <v>9937.23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IFERROR(__xludf.DUMMYFUNCTION("IMPORTRANGE(""https://docs.google.com/spreadsheets/d/11923uPwbBZFjjGgGUA6NLw09EwE0CqkOc4q9oUmW1yo/edit?usp=sharing"",""เชียงใหม่!I373"")"),0)</f>
        <v>0</v>
      </c>
      <c r="J478" s="188">
        <f ca="1">IFERROR(__xludf.DUMMYFUNCTION("IMPORTRANGE(""https://docs.google.com/spreadsheets/d/11923uPwbBZFjjGgGUA6NLw09EwE0CqkOc4q9oUmW1yo/edit?usp=sharing"",""เชียงใหม่!J373"")"),1938)</f>
        <v>1938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IFERROR(__xludf.DUMMYFUNCTION("IMPORTRANGE(""https://docs.google.com/spreadsheets/d/11923uPwbBZFjjGgGUA6NLw09EwE0CqkOc4q9oUmW1yo/edit?usp=sharing"",""เชียงใหม่!I374"")"),0)</f>
        <v>0</v>
      </c>
      <c r="J479" s="188">
        <f ca="1">IFERROR(__xludf.DUMMYFUNCTION("IMPORTRANGE(""https://docs.google.com/spreadsheets/d/11923uPwbBZFjjGgGUA6NLw09EwE0CqkOc4q9oUmW1yo/edit?usp=sharing"",""เชียงใหม่!J374"")"),208.35)</f>
        <v>208.35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IFERROR(__xludf.DUMMYFUNCTION("IMPORTRANGE(""https://docs.google.com/spreadsheets/d/11923uPwbBZFjjGgGUA6NLw09EwE0CqkOc4q9oUmW1yo/edit?usp=sharing"",""เชียงใหม่!I375"")"),0)</f>
        <v>0</v>
      </c>
      <c r="J480" s="188">
        <f ca="1">IFERROR(__xludf.DUMMYFUNCTION("IMPORTRANGE(""https://docs.google.com/spreadsheets/d/11923uPwbBZFjjGgGUA6NLw09EwE0CqkOc4q9oUmW1yo/edit?usp=sharing"",""เชียงใหม่!J375"")"),63)</f>
        <v>63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IFERROR(__xludf.DUMMYFUNCTION("IMPORTRANGE(""https://docs.google.com/spreadsheets/d/11923uPwbBZFjjGgGUA6NLw09EwE0CqkOc4q9oUmW1yo/edit?usp=sharing"",""เชียงใหม่!I376"")"),19467)</f>
        <v>19467</v>
      </c>
      <c r="J481" s="420">
        <f ca="1">IFERROR(__xludf.DUMMYFUNCTION("IMPORTRANGE(""https://docs.google.com/spreadsheets/d/11923uPwbBZFjjGgGUA6NLw09EwE0CqkOc4q9oUmW1yo/edit?usp=sharing"",""เชียงใหม่!J376"")"),19467.12)</f>
        <v>19467.12</v>
      </c>
      <c r="K481" s="201">
        <f t="shared" ca="1" si="117"/>
        <v>100.00061642780089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IFERROR(__xludf.DUMMYFUNCTION("IMPORTRANGE(""https://docs.google.com/spreadsheets/d/11923uPwbBZFjjGgGUA6NLw09EwE0CqkOc4q9oUmW1yo/edit?usp=sharing"",""เชียงใหม่!I377"")"),4394)</f>
        <v>4394</v>
      </c>
      <c r="J482" s="420">
        <f ca="1">IFERROR(__xludf.DUMMYFUNCTION("IMPORTRANGE(""https://docs.google.com/spreadsheets/d/11923uPwbBZFjjGgGUA6NLw09EwE0CqkOc4q9oUmW1yo/edit?usp=sharing"",""เชียงใหม่!J377"")"),4394)</f>
        <v>4394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IFERROR(__xludf.DUMMYFUNCTION("IMPORTRANGE(""https://docs.google.com/spreadsheets/d/11923uPwbBZFjjGgGUA6NLw09EwE0CqkOc4q9oUmW1yo/edit?usp=sharing"",""เชียงใหม่!I378"")"),0)</f>
        <v>0</v>
      </c>
      <c r="J483" s="188">
        <f ca="1">IFERROR(__xludf.DUMMYFUNCTION("IMPORTRANGE(""https://docs.google.com/spreadsheets/d/11923uPwbBZFjjGgGUA6NLw09EwE0CqkOc4q9oUmW1yo/edit?usp=sharing"",""เชียงใหม่!J378"")"),9874)</f>
        <v>9874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IFERROR(__xludf.DUMMYFUNCTION("IMPORTRANGE(""https://docs.google.com/spreadsheets/d/11923uPwbBZFjjGgGUA6NLw09EwE0CqkOc4q9oUmW1yo/edit?usp=sharing"",""เชียงใหม่!I379"")"),0)</f>
        <v>0</v>
      </c>
      <c r="J484" s="188">
        <f ca="1">IFERROR(__xludf.DUMMYFUNCTION("IMPORTRANGE(""https://docs.google.com/spreadsheets/d/11923uPwbBZFjjGgGUA6NLw09EwE0CqkOc4q9oUmW1yo/edit?usp=sharing"",""เชียงใหม่!J379"")"),2517)</f>
        <v>2517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IFERROR(__xludf.DUMMYFUNCTION("IMPORTRANGE(""https://docs.google.com/spreadsheets/d/11923uPwbBZFjjGgGUA6NLw09EwE0CqkOc4q9oUmW1yo/edit?usp=sharing"",""เชียงใหม่!I380"")"),0)</f>
        <v>0</v>
      </c>
      <c r="J485" s="188">
        <f ca="1">IFERROR(__xludf.DUMMYFUNCTION("IMPORTRANGE(""https://docs.google.com/spreadsheets/d/11923uPwbBZFjjGgGUA6NLw09EwE0CqkOc4q9oUmW1yo/edit?usp=sharing"",""เชียงใหม่!J380"")"),358)</f>
        <v>358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IFERROR(__xludf.DUMMYFUNCTION("IMPORTRANGE(""https://docs.google.com/spreadsheets/d/11923uPwbBZFjjGgGUA6NLw09EwE0CqkOc4q9oUmW1yo/edit?usp=sharing"",""เชียงใหม่!I381"")"),0)</f>
        <v>0</v>
      </c>
      <c r="J486" s="188">
        <f ca="1">IFERROR(__xludf.DUMMYFUNCTION("IMPORTRANGE(""https://docs.google.com/spreadsheets/d/11923uPwbBZFjjGgGUA6NLw09EwE0CqkOc4q9oUmW1yo/edit?usp=sharing"",""เชียงใหม่!J381"")"),76)</f>
        <v>76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IFERROR(__xludf.DUMMYFUNCTION("IMPORTRANGE(""https://docs.google.com/spreadsheets/d/11923uPwbBZFjjGgGUA6NLw09EwE0CqkOc4q9oUmW1yo/edit?usp=sharing"",""เชียงใหม่!I382"")"),0)</f>
        <v>0</v>
      </c>
      <c r="J487" s="420">
        <f ca="1">IFERROR(__xludf.DUMMYFUNCTION("IMPORTRANGE(""https://docs.google.com/spreadsheets/d/11923uPwbBZFjjGgGUA6NLw09EwE0CqkOc4q9oUmW1yo/edit?usp=sharing"",""เชียงใหม่!J382"")"),198.73)</f>
        <v>198.73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IFERROR(__xludf.DUMMYFUNCTION("IMPORTRANGE(""https://docs.google.com/spreadsheets/d/11923uPwbBZFjjGgGUA6NLw09EwE0CqkOc4q9oUmW1yo/edit?usp=sharing"",""เชียงใหม่!I383"")"),0)</f>
        <v>0</v>
      </c>
      <c r="J488" s="420">
        <f ca="1">IFERROR(__xludf.DUMMYFUNCTION("IMPORTRANGE(""https://docs.google.com/spreadsheets/d/11923uPwbBZFjjGgGUA6NLw09EwE0CqkOc4q9oUmW1yo/edit?usp=sharing"",""เชียงใหม่!J383"")"),59)</f>
        <v>59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IFERROR(__xludf.DUMMYFUNCTION("IMPORTRANGE(""https://docs.google.com/spreadsheets/d/11923uPwbBZFjjGgGUA6NLw09EwE0CqkOc4q9oUmW1yo/edit?usp=sharing"",""เชียงใหม่!I384"")"),0)</f>
        <v>0</v>
      </c>
      <c r="J489" s="188">
        <f ca="1">IFERROR(__xludf.DUMMYFUNCTION("IMPORTRANGE(""https://docs.google.com/spreadsheets/d/11923uPwbBZFjjGgGUA6NLw09EwE0CqkOc4q9oUmW1yo/edit?usp=sharing"",""เชียงใหม่!J384"")"),169.26)</f>
        <v>169.26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IFERROR(__xludf.DUMMYFUNCTION("IMPORTRANGE(""https://docs.google.com/spreadsheets/d/11923uPwbBZFjjGgGUA6NLw09EwE0CqkOc4q9oUmW1yo/edit?usp=sharing"",""เชียงใหม่!I385"")"),0)</f>
        <v>0</v>
      </c>
      <c r="J490" s="188">
        <f ca="1">IFERROR(__xludf.DUMMYFUNCTION("IMPORTRANGE(""https://docs.google.com/spreadsheets/d/11923uPwbBZFjjGgGUA6NLw09EwE0CqkOc4q9oUmW1yo/edit?usp=sharing"",""เชียงใหม่!J385"")"),52)</f>
        <v>52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IFERROR(__xludf.DUMMYFUNCTION("IMPORTRANGE(""https://docs.google.com/spreadsheets/d/11923uPwbBZFjjGgGUA6NLw09EwE0CqkOc4q9oUmW1yo/edit?usp=sharing"",""เชียงใหม่!I386"")"),0)</f>
        <v>0</v>
      </c>
      <c r="J491" s="188">
        <f ca="1">IFERROR(__xludf.DUMMYFUNCTION("IMPORTRANGE(""https://docs.google.com/spreadsheets/d/11923uPwbBZFjjGgGUA6NLw09EwE0CqkOc4q9oUmW1yo/edit?usp=sharing"",""เชียงใหม่!J386"")"),29.47)</f>
        <v>29.47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IFERROR(__xludf.DUMMYFUNCTION("IMPORTRANGE(""https://docs.google.com/spreadsheets/d/11923uPwbBZFjjGgGUA6NLw09EwE0CqkOc4q9oUmW1yo/edit?usp=sharing"",""เชียงใหม่!I387"")"),0)</f>
        <v>0</v>
      </c>
      <c r="J492" s="188">
        <f ca="1">IFERROR(__xludf.DUMMYFUNCTION("IMPORTRANGE(""https://docs.google.com/spreadsheets/d/11923uPwbBZFjjGgGUA6NLw09EwE0CqkOc4q9oUmW1yo/edit?usp=sharing"",""เชียงใหม่!J387"")"),7)</f>
        <v>7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IFERROR(__xludf.DUMMYFUNCTION("IMPORTRANGE(""https://docs.google.com/spreadsheets/d/11923uPwbBZFjjGgGUA6NLw09EwE0CqkOc4q9oUmW1yo/edit?usp=sharing"",""เชียงใหม่!I388"")"),0)</f>
        <v>0</v>
      </c>
      <c r="J493" s="188">
        <f ca="1">IFERROR(__xludf.DUMMYFUNCTION("IMPORTRANGE(""https://docs.google.com/spreadsheets/d/11923uPwbBZFjjGgGUA6NLw09EwE0CqkOc4q9oUmW1yo/edit?usp=sharing"",""เชียงใหม่!J388"")"),9036.39)</f>
        <v>9036.39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IFERROR(__xludf.DUMMYFUNCTION("IMPORTRANGE(""https://docs.google.com/spreadsheets/d/11923uPwbBZFjjGgGUA6NLw09EwE0CqkOc4q9oUmW1yo/edit?usp=sharing"",""เชียงใหม่!I389"")"),0)</f>
        <v>0</v>
      </c>
      <c r="J494" s="436">
        <f ca="1">IFERROR(__xludf.DUMMYFUNCTION("IMPORTRANGE(""https://docs.google.com/spreadsheets/d/11923uPwbBZFjjGgGUA6NLw09EwE0CqkOc4q9oUmW1yo/edit?usp=sharing"",""เชียงใหม่!J389"")"),1742)</f>
        <v>1742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IFERROR(__xludf.DUMMYFUNCTION("IMPORTRANGE(""https://docs.google.com/spreadsheets/d/11923uPwbBZFjjGgGUA6NLw09EwE0CqkOc4q9oUmW1yo/edit?usp=sharing"",""เชียงใหม่!I390"")"),0)</f>
        <v>0</v>
      </c>
      <c r="J495" s="436">
        <f ca="1">IFERROR(__xludf.DUMMYFUNCTION("IMPORTRANGE(""https://docs.google.com/spreadsheets/d/11923uPwbBZFjjGgGUA6NLw09EwE0CqkOc4q9oUmW1yo/edit?usp=sharing"",""เชียงใหม่!J390"")"),0)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IFERROR(__xludf.DUMMYFUNCTION("IMPORTRANGE(""https://docs.google.com/spreadsheets/d/11923uPwbBZFjjGgGUA6NLw09EwE0CqkOc4q9oUmW1yo/edit?usp=sharing"",""เชียงใหม่!I391"")"),0)</f>
        <v>0</v>
      </c>
      <c r="J496" s="436">
        <f ca="1">IFERROR(__xludf.DUMMYFUNCTION("IMPORTRANGE(""https://docs.google.com/spreadsheets/d/11923uPwbBZFjjGgGUA6NLw09EwE0CqkOc4q9oUmW1yo/edit?usp=sharing"",""เชียงใหม่!J391"")"),0)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IFERROR(__xludf.DUMMYFUNCTION("IMPORTRANGE(""https://docs.google.com/spreadsheets/d/11923uPwbBZFjjGgGUA6NLw09EwE0CqkOc4q9oUmW1yo/edit?usp=sharing"",""เชียงใหม่!I392"")"),5091)</f>
        <v>5091</v>
      </c>
      <c r="J497" s="443">
        <f ca="1">IFERROR(__xludf.DUMMYFUNCTION("IMPORTRANGE(""https://docs.google.com/spreadsheets/d/11923uPwbBZFjjGgGUA6NLw09EwE0CqkOc4q9oUmW1yo/edit?usp=sharing"",""เชียงใหม่!J392"")"),4906)</f>
        <v>4906</v>
      </c>
      <c r="K497" s="444">
        <f t="shared" ca="1" si="117"/>
        <v>96.366136318994307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IFERROR(__xludf.DUMMYFUNCTION("IMPORTRANGE(""https://docs.google.com/spreadsheets/d/11923uPwbBZFjjGgGUA6NLw09EwE0CqkOc4q9oUmW1yo/edit?usp=sharing"",""เชียงใหม่!I393"")"),5091)</f>
        <v>5091</v>
      </c>
      <c r="J498" s="420">
        <f ca="1">IFERROR(__xludf.DUMMYFUNCTION("IMPORTRANGE(""https://docs.google.com/spreadsheets/d/11923uPwbBZFjjGgGUA6NLw09EwE0CqkOc4q9oUmW1yo/edit?usp=sharing"",""เชียงใหม่!J393"")"),4906)</f>
        <v>4906</v>
      </c>
      <c r="K498" s="201">
        <f t="shared" ca="1" si="117"/>
        <v>96.366136318994307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IFERROR(__xludf.DUMMYFUNCTION("IMPORTRANGE(""https://docs.google.com/spreadsheets/d/11923uPwbBZFjjGgGUA6NLw09EwE0CqkOc4q9oUmW1yo/edit?usp=sharing"",""เชียงใหม่!I394"")"),629)</f>
        <v>629</v>
      </c>
      <c r="J499" s="420">
        <f ca="1">IFERROR(__xludf.DUMMYFUNCTION("IMPORTRANGE(""https://docs.google.com/spreadsheets/d/11923uPwbBZFjjGgGUA6NLw09EwE0CqkOc4q9oUmW1yo/edit?usp=sharing"",""เชียงใหม่!J394"")"),607)</f>
        <v>607</v>
      </c>
      <c r="K499" s="201">
        <f t="shared" ca="1" si="117"/>
        <v>96.502384737678852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IFERROR(__xludf.DUMMYFUNCTION("IMPORTRANGE(""https://docs.google.com/spreadsheets/d/11923uPwbBZFjjGgGUA6NLw09EwE0CqkOc4q9oUmW1yo/edit?usp=sharing"",""เชียงใหม่!I395"")"),0)</f>
        <v>0</v>
      </c>
      <c r="J500" s="162">
        <f ca="1">IFERROR(__xludf.DUMMYFUNCTION("IMPORTRANGE(""https://docs.google.com/spreadsheets/d/11923uPwbBZFjjGgGUA6NLw09EwE0CqkOc4q9oUmW1yo/edit?usp=sharing"",""เชียงใหม่!J395"")"),4342)</f>
        <v>4342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IFERROR(__xludf.DUMMYFUNCTION("IMPORTRANGE(""https://docs.google.com/spreadsheets/d/11923uPwbBZFjjGgGUA6NLw09EwE0CqkOc4q9oUmW1yo/edit?usp=sharing"",""เชียงใหม่!I396"")"),0)</f>
        <v>0</v>
      </c>
      <c r="J501" s="162">
        <f ca="1">IFERROR(__xludf.DUMMYFUNCTION("IMPORTRANGE(""https://docs.google.com/spreadsheets/d/11923uPwbBZFjjGgGUA6NLw09EwE0CqkOc4q9oUmW1yo/edit?usp=sharing"",""เชียงใหม่!J396"")"),545)</f>
        <v>545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IFERROR(__xludf.DUMMYFUNCTION("IMPORTRANGE(""https://docs.google.com/spreadsheets/d/11923uPwbBZFjjGgGUA6NLw09EwE0CqkOc4q9oUmW1yo/edit?usp=sharing"",""เชียงใหม่!I397"")"),0)</f>
        <v>0</v>
      </c>
      <c r="J502" s="188">
        <f ca="1">IFERROR(__xludf.DUMMYFUNCTION("IMPORTRANGE(""https://docs.google.com/spreadsheets/d/11923uPwbBZFjjGgGUA6NLw09EwE0CqkOc4q9oUmW1yo/edit?usp=sharing"",""เชียงใหม่!J397"")"),893)</f>
        <v>893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IFERROR(__xludf.DUMMYFUNCTION("IMPORTRANGE(""https://docs.google.com/spreadsheets/d/11923uPwbBZFjjGgGUA6NLw09EwE0CqkOc4q9oUmW1yo/edit?usp=sharing"",""เชียงใหม่!I398"")"),0)</f>
        <v>0</v>
      </c>
      <c r="J503" s="197">
        <f ca="1">IFERROR(__xludf.DUMMYFUNCTION("IMPORTRANGE(""https://docs.google.com/spreadsheets/d/11923uPwbBZFjjGgGUA6NLw09EwE0CqkOc4q9oUmW1yo/edit?usp=sharing"",""เชียงใหม่!J398"")"),129)</f>
        <v>129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IFERROR(__xludf.DUMMYFUNCTION("IMPORTRANGE(""https://docs.google.com/spreadsheets/d/11923uPwbBZFjjGgGUA6NLw09EwE0CqkOc4q9oUmW1yo/edit?usp=sharing"",""เชียงใหม่!I399"")"),0)</f>
        <v>0</v>
      </c>
      <c r="J504" s="188">
        <f ca="1">IFERROR(__xludf.DUMMYFUNCTION("IMPORTRANGE(""https://docs.google.com/spreadsheets/d/11923uPwbBZFjjGgGUA6NLw09EwE0CqkOc4q9oUmW1yo/edit?usp=sharing"",""เชียงใหม่!J399"")"),3449)</f>
        <v>3449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IFERROR(__xludf.DUMMYFUNCTION("IMPORTRANGE(""https://docs.google.com/spreadsheets/d/11923uPwbBZFjjGgGUA6NLw09EwE0CqkOc4q9oUmW1yo/edit?usp=sharing"",""เชียงใหม่!I400"")"),0)</f>
        <v>0</v>
      </c>
      <c r="J505" s="197">
        <f ca="1">IFERROR(__xludf.DUMMYFUNCTION("IMPORTRANGE(""https://docs.google.com/spreadsheets/d/11923uPwbBZFjjGgGUA6NLw09EwE0CqkOc4q9oUmW1yo/edit?usp=sharing"",""เชียงใหม่!J400"")"),416)</f>
        <v>416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IFERROR(__xludf.DUMMYFUNCTION("IMPORTRANGE(""https://docs.google.com/spreadsheets/d/11923uPwbBZFjjGgGUA6NLw09EwE0CqkOc4q9oUmW1yo/edit?usp=sharing"",""เชียงใหม่!I401"")"),0)</f>
        <v>0</v>
      </c>
      <c r="J506" s="188">
        <f ca="1">IFERROR(__xludf.DUMMYFUNCTION("IMPORTRANGE(""https://docs.google.com/spreadsheets/d/11923uPwbBZFjjGgGUA6NLw09EwE0CqkOc4q9oUmW1yo/edit?usp=sharing"",""เชียงใหม่!J401"")"),0)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IFERROR(__xludf.DUMMYFUNCTION("IMPORTRANGE(""https://docs.google.com/spreadsheets/d/11923uPwbBZFjjGgGUA6NLw09EwE0CqkOc4q9oUmW1yo/edit?usp=sharing"",""เชียงใหม่!I402"")"),0)</f>
        <v>0</v>
      </c>
      <c r="J507" s="197">
        <f ca="1">IFERROR(__xludf.DUMMYFUNCTION("IMPORTRANGE(""https://docs.google.com/spreadsheets/d/11923uPwbBZFjjGgGUA6NLw09EwE0CqkOc4q9oUmW1yo/edit?usp=sharing"",""เชียงใหม่!J402"")"),0)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IFERROR(__xludf.DUMMYFUNCTION("IMPORTRANGE(""https://docs.google.com/spreadsheets/d/11923uPwbBZFjjGgGUA6NLw09EwE0CqkOc4q9oUmW1yo/edit?usp=sharing"",""เชียงใหม่!I403"")"),0)</f>
        <v>0</v>
      </c>
      <c r="J508" s="162">
        <f ca="1">IFERROR(__xludf.DUMMYFUNCTION("IMPORTRANGE(""https://docs.google.com/spreadsheets/d/11923uPwbBZFjjGgGUA6NLw09EwE0CqkOc4q9oUmW1yo/edit?usp=sharing"",""เชียงใหม่!J403"")"),20)</f>
        <v>20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IFERROR(__xludf.DUMMYFUNCTION("IMPORTRANGE(""https://docs.google.com/spreadsheets/d/11923uPwbBZFjjGgGUA6NLw09EwE0CqkOc4q9oUmW1yo/edit?usp=sharing"",""เชียงใหม่!I404"")"),0)</f>
        <v>0</v>
      </c>
      <c r="J509" s="162">
        <f ca="1">IFERROR(__xludf.DUMMYFUNCTION("IMPORTRANGE(""https://docs.google.com/spreadsheets/d/11923uPwbBZFjjGgGUA6NLw09EwE0CqkOc4q9oUmW1yo/edit?usp=sharing"",""เชียงใหม่!J404"")"),9)</f>
        <v>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IFERROR(__xludf.DUMMYFUNCTION("IMPORTRANGE(""https://docs.google.com/spreadsheets/d/11923uPwbBZFjjGgGUA6NLw09EwE0CqkOc4q9oUmW1yo/edit?usp=sharing"",""เชียงใหม่!I405"")"),0)</f>
        <v>0</v>
      </c>
      <c r="J510" s="562">
        <f ca="1">IFERROR(__xludf.DUMMYFUNCTION("IMPORTRANGE(""https://docs.google.com/spreadsheets/d/11923uPwbBZFjjGgGUA6NLw09EwE0CqkOc4q9oUmW1yo/edit?usp=sharing"",""เชียงใหม่!J405"")"),7)</f>
        <v>7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IFERROR(__xludf.DUMMYFUNCTION("IMPORTRANGE(""https://docs.google.com/spreadsheets/d/11923uPwbBZFjjGgGUA6NLw09EwE0CqkOc4q9oUmW1yo/edit?usp=sharing"",""เชียงใหม่!I406"")"),0)</f>
        <v>0</v>
      </c>
      <c r="J511" s="197">
        <f ca="1">IFERROR(__xludf.DUMMYFUNCTION("IMPORTRANGE(""https://docs.google.com/spreadsheets/d/11923uPwbBZFjjGgGUA6NLw09EwE0CqkOc4q9oUmW1yo/edit?usp=sharing"",""เชียงใหม่!J406"")"),4)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IFERROR(__xludf.DUMMYFUNCTION("IMPORTRANGE(""https://docs.google.com/spreadsheets/d/11923uPwbBZFjjGgGUA6NLw09EwE0CqkOc4q9oUmW1yo/edit?usp=sharing"",""เชียงใหม่!I407"")"),0)</f>
        <v>0</v>
      </c>
      <c r="J512" s="197">
        <f ca="1">IFERROR(__xludf.DUMMYFUNCTION("IMPORTRANGE(""https://docs.google.com/spreadsheets/d/11923uPwbBZFjjGgGUA6NLw09EwE0CqkOc4q9oUmW1yo/edit?usp=sharing"",""เชียงใหม่!J407"")"),13)</f>
        <v>13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IFERROR(__xludf.DUMMYFUNCTION("IMPORTRANGE(""https://docs.google.com/spreadsheets/d/11923uPwbBZFjjGgGUA6NLw09EwE0CqkOc4q9oUmW1yo/edit?usp=sharing"",""เชียงใหม่!I408"")"),0)</f>
        <v>0</v>
      </c>
      <c r="J513" s="197">
        <f ca="1">IFERROR(__xludf.DUMMYFUNCTION("IMPORTRANGE(""https://docs.google.com/spreadsheets/d/11923uPwbBZFjjGgGUA6NLw09EwE0CqkOc4q9oUmW1yo/edit?usp=sharing"",""เชียงใหม่!J408"")"),5)</f>
        <v>5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IFERROR(__xludf.DUMMYFUNCTION("IMPORTRANGE(""https://docs.google.com/spreadsheets/d/11923uPwbBZFjjGgGUA6NLw09EwE0CqkOc4q9oUmW1yo/edit?usp=sharing"",""เชียงใหม่!I409"")"),0)</f>
        <v>0</v>
      </c>
      <c r="J514" s="197">
        <f ca="1">IFERROR(__xludf.DUMMYFUNCTION("IMPORTRANGE(""https://docs.google.com/spreadsheets/d/11923uPwbBZFjjGgGUA6NLw09EwE0CqkOc4q9oUmW1yo/edit?usp=sharing"",""เชียงใหม่!J409"")"),544)</f>
        <v>544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IFERROR(__xludf.DUMMYFUNCTION("IMPORTRANGE(""https://docs.google.com/spreadsheets/d/11923uPwbBZFjjGgGUA6NLw09EwE0CqkOc4q9oUmW1yo/edit?usp=sharing"",""เชียงใหม่!I410"")"),0)</f>
        <v>0</v>
      </c>
      <c r="J515" s="197">
        <f ca="1">IFERROR(__xludf.DUMMYFUNCTION("IMPORTRANGE(""https://docs.google.com/spreadsheets/d/11923uPwbBZFjjGgGUA6NLw09EwE0CqkOc4q9oUmW1yo/edit?usp=sharing"",""เชียงใหม่!J410"")"),53)</f>
        <v>53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IFERROR(__xludf.DUMMYFUNCTION("IMPORTRANGE(""https://docs.google.com/spreadsheets/d/11923uPwbBZFjjGgGUA6NLw09EwE0CqkOc4q9oUmW1yo/edit?usp=sharing"",""เชียงใหม่!I411"")"),0)</f>
        <v>0</v>
      </c>
      <c r="J516" s="267">
        <f ca="1">IFERROR(__xludf.DUMMYFUNCTION("IMPORTRANGE(""https://docs.google.com/spreadsheets/d/11923uPwbBZFjjGgGUA6NLw09EwE0CqkOc4q9oUmW1yo/edit?usp=sharing"",""เชียงใหม่!J411"")"),0)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IFERROR(__xludf.DUMMYFUNCTION("IMPORTRANGE(""https://docs.google.com/spreadsheets/d/11923uPwbBZFjjGgGUA6NLw09EwE0CqkOc4q9oUmW1yo/edit?usp=sharing"",""เชียงใหม่!I412"")"),0)</f>
        <v>0</v>
      </c>
      <c r="J517" s="284">
        <f ca="1">IFERROR(__xludf.DUMMYFUNCTION("IMPORTRANGE(""https://docs.google.com/spreadsheets/d/11923uPwbBZFjjGgGUA6NLw09EwE0CqkOc4q9oUmW1yo/edit?usp=sharing"",""เชียงใหม่!J412"")"),0)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IFERROR(__xludf.DUMMYFUNCTION("IMPORTRANGE(""https://docs.google.com/spreadsheets/d/11923uPwbBZFjjGgGUA6NLw09EwE0CqkOc4q9oUmW1yo/edit?usp=sharing"",""เชียงใหม่!I413"")"),0)</f>
        <v>0</v>
      </c>
      <c r="J518" s="284">
        <f ca="1">IFERROR(__xludf.DUMMYFUNCTION("IMPORTRANGE(""https://docs.google.com/spreadsheets/d/11923uPwbBZFjjGgGUA6NLw09EwE0CqkOc4q9oUmW1yo/edit?usp=sharing"",""เชียงใหม่!J413"")"),0)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IFERROR(__xludf.DUMMYFUNCTION("IMPORTRANGE(""https://docs.google.com/spreadsheets/d/11923uPwbBZFjjGgGUA6NLw09EwE0CqkOc4q9oUmW1yo/edit?usp=sharing"",""เชียงใหม่!I414"")"),0)</f>
        <v>0</v>
      </c>
      <c r="J519" s="187">
        <f ca="1">IFERROR(__xludf.DUMMYFUNCTION("IMPORTRANGE(""https://docs.google.com/spreadsheets/d/11923uPwbBZFjjGgGUA6NLw09EwE0CqkOc4q9oUmW1yo/edit?usp=sharing"",""เชียงใหม่!J414"")"),0)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IFERROR(__xludf.DUMMYFUNCTION("IMPORTRANGE(""https://docs.google.com/spreadsheets/d/11923uPwbBZFjjGgGUA6NLw09EwE0CqkOc4q9oUmW1yo/edit?usp=sharing"",""เชียงใหม่!I415"")"),0)</f>
        <v>0</v>
      </c>
      <c r="J520" s="187">
        <f ca="1">IFERROR(__xludf.DUMMYFUNCTION("IMPORTRANGE(""https://docs.google.com/spreadsheets/d/11923uPwbBZFjjGgGUA6NLw09EwE0CqkOc4q9oUmW1yo/edit?usp=sharing"",""เชียงใหม่!J415"")"),0)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IFERROR(__xludf.DUMMYFUNCTION("IMPORTRANGE(""https://docs.google.com/spreadsheets/d/11923uPwbBZFjjGgGUA6NLw09EwE0CqkOc4q9oUmW1yo/edit?usp=sharing"",""เชียงใหม่!I416"")"),0)</f>
        <v>0</v>
      </c>
      <c r="J521" s="187">
        <f ca="1">IFERROR(__xludf.DUMMYFUNCTION("IMPORTRANGE(""https://docs.google.com/spreadsheets/d/11923uPwbBZFjjGgGUA6NLw09EwE0CqkOc4q9oUmW1yo/edit?usp=sharing"",""เชียงใหม่!J416"")"),0)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IFERROR(__xludf.DUMMYFUNCTION("IMPORTRANGE(""https://docs.google.com/spreadsheets/d/11923uPwbBZFjjGgGUA6NLw09EwE0CqkOc4q9oUmW1yo/edit?usp=sharing"",""เชียงใหม่!I417"")"),0)</f>
        <v>0</v>
      </c>
      <c r="J522" s="187">
        <f ca="1">IFERROR(__xludf.DUMMYFUNCTION("IMPORTRANGE(""https://docs.google.com/spreadsheets/d/11923uPwbBZFjjGgGUA6NLw09EwE0CqkOc4q9oUmW1yo/edit?usp=sharing"",""เชียงใหม่!J417"")"),0)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IFERROR(__xludf.DUMMYFUNCTION("IMPORTRANGE(""https://docs.google.com/spreadsheets/d/11923uPwbBZFjjGgGUA6NLw09EwE0CqkOc4q9oUmW1yo/edit?usp=sharing"",""เชียงใหม่!I418"")"),0)</f>
        <v>0</v>
      </c>
      <c r="J523" s="187">
        <f ca="1">IFERROR(__xludf.DUMMYFUNCTION("IMPORTRANGE(""https://docs.google.com/spreadsheets/d/11923uPwbBZFjjGgGUA6NLw09EwE0CqkOc4q9oUmW1yo/edit?usp=sharing"",""เชียงใหม่!J418"")"),59)</f>
        <v>59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IFERROR(__xludf.DUMMYFUNCTION("IMPORTRANGE(""https://docs.google.com/spreadsheets/d/11923uPwbBZFjjGgGUA6NLw09EwE0CqkOc4q9oUmW1yo/edit?usp=sharing"",""เชียงใหม่!I419"")"),0)</f>
        <v>0</v>
      </c>
      <c r="J524" s="187">
        <f ca="1">IFERROR(__xludf.DUMMYFUNCTION("IMPORTRANGE(""https://docs.google.com/spreadsheets/d/11923uPwbBZFjjGgGUA6NLw09EwE0CqkOc4q9oUmW1yo/edit?usp=sharing"",""เชียงใหม่!J419"")"),15)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IFERROR(__xludf.DUMMYFUNCTION("IMPORTRANGE(""https://docs.google.com/spreadsheets/d/11923uPwbBZFjjGgGUA6NLw09EwE0CqkOc4q9oUmW1yo/edit?usp=sharing"",""เชียงใหม่!I420"")"),59)</f>
        <v>59</v>
      </c>
      <c r="J525" s="284">
        <f ca="1">IFERROR(__xludf.DUMMYFUNCTION("IMPORTRANGE(""https://docs.google.com/spreadsheets/d/11923uPwbBZFjjGgGUA6NLw09EwE0CqkOc4q9oUmW1yo/edit?usp=sharing"",""เชียงใหม่!J420"")"),59)</f>
        <v>59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IFERROR(__xludf.DUMMYFUNCTION("IMPORTRANGE(""https://docs.google.com/spreadsheets/d/11923uPwbBZFjjGgGUA6NLw09EwE0CqkOc4q9oUmW1yo/edit?usp=sharing"",""เชียงใหม่!I421"")"),15)</f>
        <v>15</v>
      </c>
      <c r="J526" s="284">
        <f ca="1">IFERROR(__xludf.DUMMYFUNCTION("IMPORTRANGE(""https://docs.google.com/spreadsheets/d/11923uPwbBZFjjGgGUA6NLw09EwE0CqkOc4q9oUmW1yo/edit?usp=sharing"",""เชียงใหม่!J421"")"),15)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IFERROR(__xludf.DUMMYFUNCTION("IMPORTRANGE(""https://docs.google.com/spreadsheets/d/11923uPwbBZFjjGgGUA6NLw09EwE0CqkOc4q9oUmW1yo/edit?usp=sharing"",""เชียงใหม่!I422"")"),0)</f>
        <v>0</v>
      </c>
      <c r="J527" s="197">
        <f ca="1">IFERROR(__xludf.DUMMYFUNCTION("IMPORTRANGE(""https://docs.google.com/spreadsheets/d/11923uPwbBZFjjGgGUA6NLw09EwE0CqkOc4q9oUmW1yo/edit?usp=sharing"",""เชียงใหม่!J422"")"),0)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IFERROR(__xludf.DUMMYFUNCTION("IMPORTRANGE(""https://docs.google.com/spreadsheets/d/11923uPwbBZFjjGgGUA6NLw09EwE0CqkOc4q9oUmW1yo/edit?usp=sharing"",""เชียงใหม่!I423"")"),0)</f>
        <v>0</v>
      </c>
      <c r="J528" s="197">
        <f ca="1">IFERROR(__xludf.DUMMYFUNCTION("IMPORTRANGE(""https://docs.google.com/spreadsheets/d/11923uPwbBZFjjGgGUA6NLw09EwE0CqkOc4q9oUmW1yo/edit?usp=sharing"",""เชียงใหม่!J423"")"),0)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IFERROR(__xludf.DUMMYFUNCTION("IMPORTRANGE(""https://docs.google.com/spreadsheets/d/11923uPwbBZFjjGgGUA6NLw09EwE0CqkOc4q9oUmW1yo/edit?usp=sharing"",""เชียงใหม่!I424"")"),0)</f>
        <v>0</v>
      </c>
      <c r="J529" s="197">
        <f ca="1">IFERROR(__xludf.DUMMYFUNCTION("IMPORTRANGE(""https://docs.google.com/spreadsheets/d/11923uPwbBZFjjGgGUA6NLw09EwE0CqkOc4q9oUmW1yo/edit?usp=sharing"",""เชียงใหม่!J424"")"),59)</f>
        <v>59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IFERROR(__xludf.DUMMYFUNCTION("IMPORTRANGE(""https://docs.google.com/spreadsheets/d/11923uPwbBZFjjGgGUA6NLw09EwE0CqkOc4q9oUmW1yo/edit?usp=sharing"",""เชียงใหม่!I425"")"),0)</f>
        <v>0</v>
      </c>
      <c r="J530" s="197">
        <f ca="1">IFERROR(__xludf.DUMMYFUNCTION("IMPORTRANGE(""https://docs.google.com/spreadsheets/d/11923uPwbBZFjjGgGUA6NLw09EwE0CqkOc4q9oUmW1yo/edit?usp=sharing"",""เชียงใหม่!J425"")"),15)</f>
        <v>15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IFERROR(__xludf.DUMMYFUNCTION("IMPORTRANGE(""https://docs.google.com/spreadsheets/d/11923uPwbBZFjjGgGUA6NLw09EwE0CqkOc4q9oUmW1yo/edit?usp=sharing"",""เชียงใหม่!I426"")"),0)</f>
        <v>0</v>
      </c>
      <c r="J531" s="197">
        <f ca="1">IFERROR(__xludf.DUMMYFUNCTION("IMPORTRANGE(""https://docs.google.com/spreadsheets/d/11923uPwbBZFjjGgGUA6NLw09EwE0CqkOc4q9oUmW1yo/edit?usp=sharing"",""เชียงใหม่!J426"")"),0)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IFERROR(__xludf.DUMMYFUNCTION("IMPORTRANGE(""https://docs.google.com/spreadsheets/d/11923uPwbBZFjjGgGUA6NLw09EwE0CqkOc4q9oUmW1yo/edit?usp=sharing"",""เชียงใหม่!I427"")"),0)</f>
        <v>0</v>
      </c>
      <c r="J532" s="466">
        <f ca="1">IFERROR(__xludf.DUMMYFUNCTION("IMPORTRANGE(""https://docs.google.com/spreadsheets/d/11923uPwbBZFjjGgGUA6NLw09EwE0CqkOc4q9oUmW1yo/edit?usp=sharing"",""เชียงใหม่!J427"")"),0)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IFERROR(__xludf.DUMMYFUNCTION("IMPORTRANGE(""https://docs.google.com/spreadsheets/d/11923uPwbBZFjjGgGUA6NLw09EwE0CqkOc4q9oUmW1yo/edit?usp=sharing"",""เชียงใหม่!I428"")"),26)</f>
        <v>26</v>
      </c>
      <c r="J533" s="409">
        <f ca="1">IFERROR(__xludf.DUMMYFUNCTION("IMPORTRANGE(""https://docs.google.com/spreadsheets/d/11923uPwbBZFjjGgGUA6NLw09EwE0CqkOc4q9oUmW1yo/edit?usp=sharing"",""เชียงใหม่!J428"")"),26)</f>
        <v>26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IFERROR(__xludf.DUMMYFUNCTION("IMPORTRANGE(""https://docs.google.com/spreadsheets/d/11923uPwbBZFjjGgGUA6NLw09EwE0CqkOc4q9oUmW1yo/edit?usp=sharing"",""เชียงใหม่!L428"")"),37740)</f>
        <v>37740</v>
      </c>
      <c r="M533" s="411"/>
      <c r="N533" s="411">
        <f ca="1">IFERROR(__xludf.DUMMYFUNCTION("IMPORTRANGE(""https://docs.google.com/spreadsheets/d/11923uPwbBZFjjGgGUA6NLw09EwE0CqkOc4q9oUmW1yo/edit?usp=sharing"",""เชียงใหม่!M428"")"),28004)</f>
        <v>28004</v>
      </c>
      <c r="O533" s="411">
        <f t="shared" ref="O533:O537" ca="1" si="118">+IF(L533&gt;0,N533*100/L533,0)</f>
        <v>74.2024377318495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IFERROR(__xludf.DUMMYFUNCTION("IMPORTRANGE(""https://docs.google.com/spreadsheets/d/11923uPwbBZFjjGgGUA6NLw09EwE0CqkOc4q9oUmW1yo/edit?usp=sharing"",""เชียงใหม่!L429"")"),0)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IFERROR(__xludf.DUMMYFUNCTION("IMPORTRANGE(""https://docs.google.com/spreadsheets/d/11923uPwbBZFjjGgGUA6NLw09EwE0CqkOc4q9oUmW1yo/edit?usp=sharing"",""เชียงใหม่!M429"")"),0)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IFERROR(__xludf.DUMMYFUNCTION("IMPORTRANGE(""https://docs.google.com/spreadsheets/d/11923uPwbBZFjjGgGUA6NLw09EwE0CqkOc4q9oUmW1yo/edit?usp=sharing"",""เชียงใหม่!L430"")"),37740)</f>
        <v>37740</v>
      </c>
      <c r="M535" s="165"/>
      <c r="N535" s="168">
        <f ca="1">IFERROR(__xludf.DUMMYFUNCTION("IMPORTRANGE(""https://docs.google.com/spreadsheets/d/11923uPwbBZFjjGgGUA6NLw09EwE0CqkOc4q9oUmW1yo/edit?usp=sharing"",""เชียงใหม่!M430"")"),28004)</f>
        <v>28004</v>
      </c>
      <c r="O535" s="168">
        <f t="shared" ca="1" si="118"/>
        <v>74.2024377318495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IFERROR(__xludf.DUMMYFUNCTION("IMPORTRANGE(""https://docs.google.com/spreadsheets/d/11923uPwbBZFjjGgGUA6NLw09EwE0CqkOc4q9oUmW1yo/edit?usp=sharing"",""เชียงใหม่!L431"")"),0)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IFERROR(__xludf.DUMMYFUNCTION("IMPORTRANGE(""https://docs.google.com/spreadsheets/d/11923uPwbBZFjjGgGUA6NLw09EwE0CqkOc4q9oUmW1yo/edit?usp=sharing"",""เชียงใหม่!M431"")"),0)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IFERROR(__xludf.DUMMYFUNCTION("IMPORTRANGE(""https://docs.google.com/spreadsheets/d/11923uPwbBZFjjGgGUA6NLw09EwE0CqkOc4q9oUmW1yo/edit?usp=sharing"",""เชียงใหม่!L432"")"),37740)</f>
        <v>37740</v>
      </c>
      <c r="M537" s="168"/>
      <c r="N537" s="168">
        <f ca="1">IFERROR(__xludf.DUMMYFUNCTION("IMPORTRANGE(""https://docs.google.com/spreadsheets/d/11923uPwbBZFjjGgGUA6NLw09EwE0CqkOc4q9oUmW1yo/edit?usp=sharing"",""เชียงใหม่!M432"")"),28004)</f>
        <v>28004</v>
      </c>
      <c r="O537" s="168">
        <f t="shared" ca="1" si="118"/>
        <v>74.2024377318495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IFERROR(__xludf.DUMMYFUNCTION("IMPORTRANGE(""https://docs.google.com/spreadsheets/d/11923uPwbBZFjjGgGUA6NLw09EwE0CqkOc4q9oUmW1yo/edit?usp=sharing"",""เชียงใหม่!M433"")"),20904)</f>
        <v>20904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IFERROR(__xludf.DUMMYFUNCTION("IMPORTRANGE(""https://docs.google.com/spreadsheets/d/11923uPwbBZFjjGgGUA6NLw09EwE0CqkOc4q9oUmW1yo/edit?usp=sharing"",""เชียงใหม่!M434"")"),0)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IFERROR(__xludf.DUMMYFUNCTION("IMPORTRANGE(""https://docs.google.com/spreadsheets/d/11923uPwbBZFjjGgGUA6NLw09EwE0CqkOc4q9oUmW1yo/edit?usp=sharing"",""เชียงใหม่!M435"")"),0)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IFERROR(__xludf.DUMMYFUNCTION("IMPORTRANGE(""https://docs.google.com/spreadsheets/d/11923uPwbBZFjjGgGUA6NLw09EwE0CqkOc4q9oUmW1yo/edit?usp=sharing"",""เชียงใหม่!M436"")"),7100)</f>
        <v>7100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IFERROR(__xludf.DUMMYFUNCTION("IMPORTRANGE(""https://docs.google.com/spreadsheets/d/11923uPwbBZFjjGgGUA6NLw09EwE0CqkOc4q9oUmW1yo/edit?usp=sharing"",""เชียงใหม่!J438"")"),0)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IFERROR(__xludf.DUMMYFUNCTION("IMPORTRANGE(""https://docs.google.com/spreadsheets/d/11923uPwbBZFjjGgGUA6NLw09EwE0CqkOc4q9oUmW1yo/edit?usp=sharing"",""เชียงใหม่!J439"")"),1)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IFERROR(__xludf.DUMMYFUNCTION("IMPORTRANGE(""https://docs.google.com/spreadsheets/d/11923uPwbBZFjjGgGUA6NLw09EwE0CqkOc4q9oUmW1yo/edit?usp=sharing"",""เชียงใหม่!J440"")"),1)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IFERROR(__xludf.DUMMYFUNCTION("IMPORTRANGE(""https://docs.google.com/spreadsheets/d/11923uPwbBZFjjGgGUA6NLw09EwE0CqkOc4q9oUmW1yo/edit?usp=sharing"",""เชียงใหม่!J441"")"),1)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IFERROR(__xludf.DUMMYFUNCTION("IMPORTRANGE(""https://docs.google.com/spreadsheets/d/11923uPwbBZFjjGgGUA6NLw09EwE0CqkOc4q9oUmW1yo/edit?usp=sharing"",""เชียงใหม่!I442"")"),26)</f>
        <v>26</v>
      </c>
      <c r="J547" s="188">
        <f ca="1">IFERROR(__xludf.DUMMYFUNCTION("IMPORTRANGE(""https://docs.google.com/spreadsheets/d/11923uPwbBZFjjGgGUA6NLw09EwE0CqkOc4q9oUmW1yo/edit?usp=sharing"",""เชียงใหม่!J442"")"),26)</f>
        <v>26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IFERROR(__xludf.DUMMYFUNCTION("IMPORTRANGE(""https://docs.google.com/spreadsheets/d/11923uPwbBZFjjGgGUA6NLw09EwE0CqkOc4q9oUmW1yo/edit?usp=sharing"",""เชียงใหม่!J166"")"),0)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IFERROR(__xludf.DUMMYFUNCTION("IMPORTRANGE(""https://docs.google.com/spreadsheets/d/11923uPwbBZFjjGgGUA6NLw09EwE0CqkOc4q9oUmW1yo/edit?usp=sharing"",""เชียงใหม่!J444"")"),0)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IFERROR(__xludf.DUMMYFUNCTION("IMPORTRANGE(""https://docs.google.com/spreadsheets/d/11923uPwbBZFjjGgGUA6NLw09EwE0CqkOc4q9oUmW1yo/edit?usp=sharing"",""เชียงใหม่!J445"")"),0)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IFERROR(__xludf.DUMMYFUNCTION("IMPORTRANGE(""https://docs.google.com/spreadsheets/d/11923uPwbBZFjjGgGUA6NLw09EwE0CqkOc4q9oUmW1yo/edit?usp=sharing"",""เชียงใหม่!I446"")"),3000)</f>
        <v>3000</v>
      </c>
      <c r="J551" s="409">
        <f ca="1">IFERROR(__xludf.DUMMYFUNCTION("IMPORTRANGE(""https://docs.google.com/spreadsheets/d/11923uPwbBZFjjGgGUA6NLw09EwE0CqkOc4q9oUmW1yo/edit?usp=sharing"",""เชียงใหม่!J446"")"),2073)</f>
        <v>2073</v>
      </c>
      <c r="K551" s="410">
        <f ca="1">IF(I551&gt;0,J551*100/I551,0)</f>
        <v>69.099999999999994</v>
      </c>
      <c r="L551" s="411">
        <f ca="1">IFERROR(__xludf.DUMMYFUNCTION("IMPORTRANGE(""https://docs.google.com/spreadsheets/d/11923uPwbBZFjjGgGUA6NLw09EwE0CqkOc4q9oUmW1yo/edit?usp=sharing"",""เชียงใหม่!L446"")"),188000)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IFERROR(__xludf.DUMMYFUNCTION("IMPORTRANGE(""https://docs.google.com/spreadsheets/d/11923uPwbBZFjjGgGUA6NLw09EwE0CqkOc4q9oUmW1yo/edit?usp=sharing"",""เชียงใหม่!M446"")"),137950.74)</f>
        <v>137950.74</v>
      </c>
      <c r="O551" s="411">
        <f t="shared" ref="O551:O555" ca="1" si="120">+IF(L551&gt;0,N551*100/L551,0)</f>
        <v>73.378053191489357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IFERROR(__xludf.DUMMYFUNCTION("IMPORTRANGE(""https://docs.google.com/spreadsheets/d/11923uPwbBZFjjGgGUA6NLw09EwE0CqkOc4q9oUmW1yo/edit?usp=sharing"",""เชียงใหม่!L447"")"),0)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IFERROR(__xludf.DUMMYFUNCTION("IMPORTRANGE(""https://docs.google.com/spreadsheets/d/11923uPwbBZFjjGgGUA6NLw09EwE0CqkOc4q9oUmW1yo/edit?usp=sharing"",""เชียงใหม่!M447"")"),0)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IFERROR(__xludf.DUMMYFUNCTION("IMPORTRANGE(""https://docs.google.com/spreadsheets/d/11923uPwbBZFjjGgGUA6NLw09EwE0CqkOc4q9oUmW1yo/edit?usp=sharing"",""เชียงใหม่!L448"")"),188000)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IFERROR(__xludf.DUMMYFUNCTION("IMPORTRANGE(""https://docs.google.com/spreadsheets/d/11923uPwbBZFjjGgGUA6NLw09EwE0CqkOc4q9oUmW1yo/edit?usp=sharing"",""เชียงใหม่!M448"")"),137950.74)</f>
        <v>137950.74</v>
      </c>
      <c r="O553" s="168">
        <f t="shared" ca="1" si="120"/>
        <v>73.378053191489357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IFERROR(__xludf.DUMMYFUNCTION("IMPORTRANGE(""https://docs.google.com/spreadsheets/d/11923uPwbBZFjjGgGUA6NLw09EwE0CqkOc4q9oUmW1yo/edit?usp=sharing"",""เชียงใหม่!L449"")"),0)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IFERROR(__xludf.DUMMYFUNCTION("IMPORTRANGE(""https://docs.google.com/spreadsheets/d/11923uPwbBZFjjGgGUA6NLw09EwE0CqkOc4q9oUmW1yo/edit?usp=sharing"",""เชียงใหม่!M449"")"),0)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IFERROR(__xludf.DUMMYFUNCTION("IMPORTRANGE(""https://docs.google.com/spreadsheets/d/11923uPwbBZFjjGgGUA6NLw09EwE0CqkOc4q9oUmW1yo/edit?usp=sharing"",""เชียงใหม่!L450"")"),188000)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IFERROR(__xludf.DUMMYFUNCTION("IMPORTRANGE(""https://docs.google.com/spreadsheets/d/11923uPwbBZFjjGgGUA6NLw09EwE0CqkOc4q9oUmW1yo/edit?usp=sharing"",""เชียงใหม่!M450"")"),137950.74)</f>
        <v>137950.74</v>
      </c>
      <c r="O555" s="168">
        <f t="shared" ca="1" si="120"/>
        <v>73.378053191489357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IFERROR(__xludf.DUMMYFUNCTION("IMPORTRANGE(""https://docs.google.com/spreadsheets/d/11923uPwbBZFjjGgGUA6NLw09EwE0CqkOc4q9oUmW1yo/edit?usp=sharing"",""เชียงใหม่!M451"")"),0)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IFERROR(__xludf.DUMMYFUNCTION("IMPORTRANGE(""https://docs.google.com/spreadsheets/d/11923uPwbBZFjjGgGUA6NLw09EwE0CqkOc4q9oUmW1yo/edit?usp=sharing"",""เชียงใหม่!M452"")"),0)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IFERROR(__xludf.DUMMYFUNCTION("IMPORTRANGE(""https://docs.google.com/spreadsheets/d/11923uPwbBZFjjGgGUA6NLw09EwE0CqkOc4q9oUmW1yo/edit?usp=sharing"",""เชียงใหม่!M453"")"),50000)</f>
        <v>50000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IFERROR(__xludf.DUMMYFUNCTION("IMPORTRANGE(""https://docs.google.com/spreadsheets/d/11923uPwbBZFjjGgGUA6NLw09EwE0CqkOc4q9oUmW1yo/edit?usp=sharing"",""เชียงใหม่!M454"")"),87950.74)</f>
        <v>87950.74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IFERROR(__xludf.DUMMYFUNCTION("IMPORTRANGE(""https://docs.google.com/spreadsheets/d/11923uPwbBZFjjGgGUA6NLw09EwE0CqkOc4q9oUmW1yo/edit?usp=sharing"",""เชียงใหม่!I455"")"),3000)</f>
        <v>3000</v>
      </c>
      <c r="J560" s="162">
        <f ca="1">IFERROR(__xludf.DUMMYFUNCTION("IMPORTRANGE(""https://docs.google.com/spreadsheets/d/11923uPwbBZFjjGgGUA6NLw09EwE0CqkOc4q9oUmW1yo/edit?usp=sharing"",""เชียงใหม่!J455"")"),2073)</f>
        <v>2073</v>
      </c>
      <c r="K560" s="224">
        <f t="shared" ref="K560:K561" ca="1" si="121">IF(I560&gt;0,J560*100/I560,0)</f>
        <v>69.099999999999994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IFERROR(__xludf.DUMMYFUNCTION("IMPORTRANGE(""https://docs.google.com/spreadsheets/d/11923uPwbBZFjjGgGUA6NLw09EwE0CqkOc4q9oUmW1yo/edit?usp=sharing"",""เชียงใหม่!I456"")"),0)</f>
        <v>0</v>
      </c>
      <c r="J561" s="203">
        <f ca="1">IFERROR(__xludf.DUMMYFUNCTION("IMPORTRANGE(""https://docs.google.com/spreadsheets/d/11923uPwbBZFjjGgGUA6NLw09EwE0CqkOc4q9oUmW1yo/edit?usp=sharing"",""เชียงใหม่!J456"")"),378)</f>
        <v>378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IFERROR(__xludf.DUMMYFUNCTION("IMPORTRANGE(""https://docs.google.com/spreadsheets/d/11923uPwbBZFjjGgGUA6NLw09EwE0CqkOc4q9oUmW1yo/edit?usp=sharing"",""เชียงใหม่!I459"")"),1000)</f>
        <v>1000</v>
      </c>
      <c r="J564" s="370">
        <f ca="1">IFERROR(__xludf.DUMMYFUNCTION("IMPORTRANGE(""https://docs.google.com/spreadsheets/d/11923uPwbBZFjjGgGUA6NLw09EwE0CqkOc4q9oUmW1yo/edit?usp=sharing"",""เชียงใหม่!J459"")"),1366)</f>
        <v>1366</v>
      </c>
      <c r="K564" s="371">
        <f ca="1">IF(I564&gt;0,J564*100/I564,0)</f>
        <v>136.6</v>
      </c>
      <c r="L564" s="372">
        <f ca="1">IFERROR(__xludf.DUMMYFUNCTION("IMPORTRANGE(""https://docs.google.com/spreadsheets/d/11923uPwbBZFjjGgGUA6NLw09EwE0CqkOc4q9oUmW1yo/edit?usp=sharing"",""เชียงใหม่!L459"")"),130880)</f>
        <v>130880</v>
      </c>
      <c r="M564" s="372"/>
      <c r="N564" s="372">
        <f ca="1">IFERROR(__xludf.DUMMYFUNCTION("IMPORTRANGE(""https://docs.google.com/spreadsheets/d/11923uPwbBZFjjGgGUA6NLw09EwE0CqkOc4q9oUmW1yo/edit?usp=sharing"",""เชียงใหม่!M459"")"),84075.2399999999)</f>
        <v>84075.239999999903</v>
      </c>
      <c r="O564" s="372">
        <f t="shared" ref="O564:O568" ca="1" si="122">+IF(L564&gt;0,N564*100/L564,0)</f>
        <v>64.238416870415577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IFERROR(__xludf.DUMMYFUNCTION("IMPORTRANGE(""https://docs.google.com/spreadsheets/d/11923uPwbBZFjjGgGUA6NLw09EwE0CqkOc4q9oUmW1yo/edit?usp=sharing"",""เชียงใหม่!L460"")"),0)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IFERROR(__xludf.DUMMYFUNCTION("IMPORTRANGE(""https://docs.google.com/spreadsheets/d/11923uPwbBZFjjGgGUA6NLw09EwE0CqkOc4q9oUmW1yo/edit?usp=sharing"",""เชียงใหม่!M460"")"),0)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IFERROR(__xludf.DUMMYFUNCTION("IMPORTRANGE(""https://docs.google.com/spreadsheets/d/11923uPwbBZFjjGgGUA6NLw09EwE0CqkOc4q9oUmW1yo/edit?usp=sharing"",""เชียงใหม่!L461"")"),130880)</f>
        <v>130880</v>
      </c>
      <c r="M566" s="165"/>
      <c r="N566" s="168">
        <f ca="1">IFERROR(__xludf.DUMMYFUNCTION("IMPORTRANGE(""https://docs.google.com/spreadsheets/d/11923uPwbBZFjjGgGUA6NLw09EwE0CqkOc4q9oUmW1yo/edit?usp=sharing"",""เชียงใหม่!M461"")"),84075.2399999999)</f>
        <v>84075.239999999903</v>
      </c>
      <c r="O566" s="168">
        <f t="shared" ca="1" si="122"/>
        <v>64.238416870415577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IFERROR(__xludf.DUMMYFUNCTION("IMPORTRANGE(""https://docs.google.com/spreadsheets/d/11923uPwbBZFjjGgGUA6NLw09EwE0CqkOc4q9oUmW1yo/edit?usp=sharing"",""เชียงใหม่!L462"")"),0)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IFERROR(__xludf.DUMMYFUNCTION("IMPORTRANGE(""https://docs.google.com/spreadsheets/d/11923uPwbBZFjjGgGUA6NLw09EwE0CqkOc4q9oUmW1yo/edit?usp=sharing"",""เชียงใหม่!M462"")"),0)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IFERROR(__xludf.DUMMYFUNCTION("IMPORTRANGE(""https://docs.google.com/spreadsheets/d/11923uPwbBZFjjGgGUA6NLw09EwE0CqkOc4q9oUmW1yo/edit?usp=sharing"",""เชียงใหม่!L463"")"),130880)</f>
        <v>130880</v>
      </c>
      <c r="M568" s="168"/>
      <c r="N568" s="168">
        <f ca="1">IFERROR(__xludf.DUMMYFUNCTION("IMPORTRANGE(""https://docs.google.com/spreadsheets/d/11923uPwbBZFjjGgGUA6NLw09EwE0CqkOc4q9oUmW1yo/edit?usp=sharing"",""เชียงใหม่!M463"")"),84075.2399999999)</f>
        <v>84075.239999999903</v>
      </c>
      <c r="O568" s="168">
        <f t="shared" ca="1" si="122"/>
        <v>64.238416870415577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IFERROR(__xludf.DUMMYFUNCTION("IMPORTRANGE(""https://docs.google.com/spreadsheets/d/11923uPwbBZFjjGgGUA6NLw09EwE0CqkOc4q9oUmW1yo/edit?usp=sharing"",""เชียงใหม่!M464"")"),0)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IFERROR(__xludf.DUMMYFUNCTION("IMPORTRANGE(""https://docs.google.com/spreadsheets/d/11923uPwbBZFjjGgGUA6NLw09EwE0CqkOc4q9oUmW1yo/edit?usp=sharing"",""เชียงใหม่!M465"")"),0)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IFERROR(__xludf.DUMMYFUNCTION("IMPORTRANGE(""https://docs.google.com/spreadsheets/d/11923uPwbBZFjjGgGUA6NLw09EwE0CqkOc4q9oUmW1yo/edit?usp=sharing"",""เชียงใหม่!M466"")"),64935.24)</f>
        <v>64935.24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IFERROR(__xludf.DUMMYFUNCTION("IMPORTRANGE(""https://docs.google.com/spreadsheets/d/11923uPwbBZFjjGgGUA6NLw09EwE0CqkOc4q9oUmW1yo/edit?usp=sharing"",""เชียงใหม่!M467"")"),19140)</f>
        <v>19140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IFERROR(__xludf.DUMMYFUNCTION("IMPORTRANGE(""https://docs.google.com/spreadsheets/d/11923uPwbBZFjjGgGUA6NLw09EwE0CqkOc4q9oUmW1yo/edit?usp=sharing"",""เชียงใหม่!I468"")"),1000)</f>
        <v>1000</v>
      </c>
      <c r="J573" s="420">
        <f ca="1">IFERROR(__xludf.DUMMYFUNCTION("IMPORTRANGE(""https://docs.google.com/spreadsheets/d/11923uPwbBZFjjGgGUA6NLw09EwE0CqkOc4q9oUmW1yo/edit?usp=sharing"",""เชียงใหม่!J468"")"),1366)</f>
        <v>1366</v>
      </c>
      <c r="K573" s="201">
        <f ca="1">IF(I573&gt;0,J573*100/I573,0)</f>
        <v>136.6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IFERROR(__xludf.DUMMYFUNCTION("IMPORTRANGE(""https://docs.google.com/spreadsheets/d/11923uPwbBZFjjGgGUA6NLw09EwE0CqkOc4q9oUmW1yo/edit?usp=sharing"",""เชียงใหม่!I470"")"),0)</f>
        <v>0</v>
      </c>
      <c r="J575" s="197">
        <f ca="1">IFERROR(__xludf.DUMMYFUNCTION("IMPORTRANGE(""https://docs.google.com/spreadsheets/d/11923uPwbBZFjjGgGUA6NLw09EwE0CqkOc4q9oUmW1yo/edit?usp=sharing"",""เชียงใหม่!J470"")"),4)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IFERROR(__xludf.DUMMYFUNCTION("IMPORTRANGE(""https://docs.google.com/spreadsheets/d/11923uPwbBZFjjGgGUA6NLw09EwE0CqkOc4q9oUmW1yo/edit?usp=sharing"",""เชียงใหม่!I471"")"),0)</f>
        <v>0</v>
      </c>
      <c r="J576" s="197">
        <f ca="1">IFERROR(__xludf.DUMMYFUNCTION("IMPORTRANGE(""https://docs.google.com/spreadsheets/d/11923uPwbBZFjjGgGUA6NLw09EwE0CqkOc4q9oUmW1yo/edit?usp=sharing"",""เชียงใหม่!J471"")"),363)</f>
        <v>363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IFERROR(__xludf.DUMMYFUNCTION("IMPORTRANGE(""https://docs.google.com/spreadsheets/d/11923uPwbBZFjjGgGUA6NLw09EwE0CqkOc4q9oUmW1yo/edit?usp=sharing"",""เชียงใหม่!I472"")"),0)</f>
        <v>0</v>
      </c>
      <c r="J577" s="188">
        <f ca="1">IFERROR(__xludf.DUMMYFUNCTION("IMPORTRANGE(""https://docs.google.com/spreadsheets/d/11923uPwbBZFjjGgGUA6NLw09EwE0CqkOc4q9oUmW1yo/edit?usp=sharing"",""เชียงใหม่!J472"")"),967)</f>
        <v>967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IFERROR(__xludf.DUMMYFUNCTION("IMPORTRANGE(""https://docs.google.com/spreadsheets/d/11923uPwbBZFjjGgGUA6NLw09EwE0CqkOc4q9oUmW1yo/edit?usp=sharing"",""เชียงใหม่!I473"")"),0)</f>
        <v>0</v>
      </c>
      <c r="J578" s="197">
        <f ca="1">IFERROR(__xludf.DUMMYFUNCTION("IMPORTRANGE(""https://docs.google.com/spreadsheets/d/11923uPwbBZFjjGgGUA6NLw09EwE0CqkOc4q9oUmW1yo/edit?usp=sharing"",""เชียงใหม่!J473"")"),1)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IFERROR(__xludf.DUMMYFUNCTION("IMPORTRANGE(""https://docs.google.com/spreadsheets/d/11923uPwbBZFjjGgGUA6NLw09EwE0CqkOc4q9oUmW1yo/edit?usp=sharing"",""เชียงใหม่!I474"")"),0)</f>
        <v>0</v>
      </c>
      <c r="J579" s="197">
        <f ca="1">IFERROR(__xludf.DUMMYFUNCTION("IMPORTRANGE(""https://docs.google.com/spreadsheets/d/11923uPwbBZFjjGgGUA6NLw09EwE0CqkOc4q9oUmW1yo/edit?usp=sharing"",""เชียงใหม่!J474"")"),35)</f>
        <v>35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IFERROR(__xludf.DUMMYFUNCTION("IMPORTRANGE(""https://docs.google.com/spreadsheets/d/11923uPwbBZFjjGgGUA6NLw09EwE0CqkOc4q9oUmW1yo/edit?usp=sharing"",""เชียงใหม่!I475"")"),30)</f>
        <v>30</v>
      </c>
      <c r="J580" s="370">
        <f ca="1">IFERROR(__xludf.DUMMYFUNCTION("IMPORTRANGE(""https://docs.google.com/spreadsheets/d/11923uPwbBZFjjGgGUA6NLw09EwE0CqkOc4q9oUmW1yo/edit?usp=sharing"",""เชียงใหม่!J475"")"),0)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IFERROR(__xludf.DUMMYFUNCTION("IMPORTRANGE(""https://docs.google.com/spreadsheets/d/11923uPwbBZFjjGgGUA6NLw09EwE0CqkOc4q9oUmW1yo/edit?usp=sharing"",""เชียงใหม่!L475"")"),195230)</f>
        <v>195230</v>
      </c>
      <c r="M580" s="372"/>
      <c r="N580" s="372">
        <f ca="1">IFERROR(__xludf.DUMMYFUNCTION("IMPORTRANGE(""https://docs.google.com/spreadsheets/d/11923uPwbBZFjjGgGUA6NLw09EwE0CqkOc4q9oUmW1yo/edit?usp=sharing"",""เชียงใหม่!M475"")"),10920)</f>
        <v>10920</v>
      </c>
      <c r="O580" s="372">
        <f t="shared" ref="O580:O584" ca="1" si="124">+IF(L580&gt;0,N580*100/L580,0)</f>
        <v>5.5934026532807462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IFERROR(__xludf.DUMMYFUNCTION("IMPORTRANGE(""https://docs.google.com/spreadsheets/d/11923uPwbBZFjjGgGUA6NLw09EwE0CqkOc4q9oUmW1yo/edit?usp=sharing"",""เชียงใหม่!L476"")"),0)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IFERROR(__xludf.DUMMYFUNCTION("IMPORTRANGE(""https://docs.google.com/spreadsheets/d/11923uPwbBZFjjGgGUA6NLw09EwE0CqkOc4q9oUmW1yo/edit?usp=sharing"",""เชียงใหม่!M476"")"),0)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IFERROR(__xludf.DUMMYFUNCTION("IMPORTRANGE(""https://docs.google.com/spreadsheets/d/11923uPwbBZFjjGgGUA6NLw09EwE0CqkOc4q9oUmW1yo/edit?usp=sharing"",""เชียงใหม่!L477"")"),195230)</f>
        <v>195230</v>
      </c>
      <c r="M582" s="165"/>
      <c r="N582" s="168">
        <f ca="1">IFERROR(__xludf.DUMMYFUNCTION("IMPORTRANGE(""https://docs.google.com/spreadsheets/d/11923uPwbBZFjjGgGUA6NLw09EwE0CqkOc4q9oUmW1yo/edit?usp=sharing"",""เชียงใหม่!M477"")"),10920)</f>
        <v>10920</v>
      </c>
      <c r="O582" s="168">
        <f t="shared" ca="1" si="124"/>
        <v>5.5934026532807462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IFERROR(__xludf.DUMMYFUNCTION("IMPORTRANGE(""https://docs.google.com/spreadsheets/d/11923uPwbBZFjjGgGUA6NLw09EwE0CqkOc4q9oUmW1yo/edit?usp=sharing"",""เชียงใหม่!L478"")"),0)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IFERROR(__xludf.DUMMYFUNCTION("IMPORTRANGE(""https://docs.google.com/spreadsheets/d/11923uPwbBZFjjGgGUA6NLw09EwE0CqkOc4q9oUmW1yo/edit?usp=sharing"",""เชียงใหม่!M478"")"),0)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IFERROR(__xludf.DUMMYFUNCTION("IMPORTRANGE(""https://docs.google.com/spreadsheets/d/11923uPwbBZFjjGgGUA6NLw09EwE0CqkOc4q9oUmW1yo/edit?usp=sharing"",""เชียงใหม่!L479"")"),195230)</f>
        <v>195230</v>
      </c>
      <c r="M584" s="168"/>
      <c r="N584" s="168">
        <f ca="1">IFERROR(__xludf.DUMMYFUNCTION("IMPORTRANGE(""https://docs.google.com/spreadsheets/d/11923uPwbBZFjjGgGUA6NLw09EwE0CqkOc4q9oUmW1yo/edit?usp=sharing"",""เชียงใหม่!M479"")"),10920)</f>
        <v>10920</v>
      </c>
      <c r="O584" s="168">
        <f t="shared" ca="1" si="124"/>
        <v>5.5934026532807462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IFERROR(__xludf.DUMMYFUNCTION("IMPORTRANGE(""https://docs.google.com/spreadsheets/d/11923uPwbBZFjjGgGUA6NLw09EwE0CqkOc4q9oUmW1yo/edit?usp=sharing"",""เชียงใหม่!M480"")"),0)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IFERROR(__xludf.DUMMYFUNCTION("IMPORTRANGE(""https://docs.google.com/spreadsheets/d/11923uPwbBZFjjGgGUA6NLw09EwE0CqkOc4q9oUmW1yo/edit?usp=sharing"",""เชียงใหม่!M481"")"),0)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IFERROR(__xludf.DUMMYFUNCTION("IMPORTRANGE(""https://docs.google.com/spreadsheets/d/11923uPwbBZFjjGgGUA6NLw09EwE0CqkOc4q9oUmW1yo/edit?usp=sharing"",""เชียงใหม่!M482"")"),0)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IFERROR(__xludf.DUMMYFUNCTION("IMPORTRANGE(""https://docs.google.com/spreadsheets/d/11923uPwbBZFjjGgGUA6NLw09EwE0CqkOc4q9oUmW1yo/edit?usp=sharing"",""เชียงใหม่!M483"")"),10920)</f>
        <v>10920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IFERROR(__xludf.DUMMYFUNCTION("IMPORTRANGE(""https://docs.google.com/spreadsheets/d/11923uPwbBZFjjGgGUA6NLw09EwE0CqkOc4q9oUmW1yo/edit?usp=sharing"",""เชียงใหม่!I484"")"),30)</f>
        <v>30</v>
      </c>
      <c r="J589" s="187">
        <f ca="1">IFERROR(__xludf.DUMMYFUNCTION("IMPORTRANGE(""https://docs.google.com/spreadsheets/d/11923uPwbBZFjjGgGUA6NLw09EwE0CqkOc4q9oUmW1yo/edit?usp=sharing"",""เชียงใหม่!J484"")"),32)</f>
        <v>32</v>
      </c>
      <c r="K589" s="163">
        <f t="shared" ref="K589:K596" ca="1" si="125">IF(I589&gt;0,J589*100/I589,0)</f>
        <v>106.66666666666667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IFERROR(__xludf.DUMMYFUNCTION("IMPORTRANGE(""https://docs.google.com/spreadsheets/d/11923uPwbBZFjjGgGUA6NLw09EwE0CqkOc4q9oUmW1yo/edit?usp=sharing"",""เชียงใหม่!I485"")"),0)</f>
        <v>0</v>
      </c>
      <c r="J590" s="187">
        <f ca="1">IFERROR(__xludf.DUMMYFUNCTION("IMPORTRANGE(""https://docs.google.com/spreadsheets/d/11923uPwbBZFjjGgGUA6NLw09EwE0CqkOc4q9oUmW1yo/edit?usp=sharing"",""เชียงใหม่!J485"")"),13.38)</f>
        <v>13.38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IFERROR(__xludf.DUMMYFUNCTION("IMPORTRANGE(""https://docs.google.com/spreadsheets/d/11923uPwbBZFjjGgGUA6NLw09EwE0CqkOc4q9oUmW1yo/edit?usp=sharing"",""เชียงใหม่!I486"")"),30)</f>
        <v>30</v>
      </c>
      <c r="J591" s="187">
        <f ca="1">IFERROR(__xludf.DUMMYFUNCTION("IMPORTRANGE(""https://docs.google.com/spreadsheets/d/11923uPwbBZFjjGgGUA6NLw09EwE0CqkOc4q9oUmW1yo/edit?usp=sharing"",""เชียงใหม่!J486"")"),19)</f>
        <v>19</v>
      </c>
      <c r="K591" s="163">
        <f t="shared" ca="1" si="125"/>
        <v>63.333333333333336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IFERROR(__xludf.DUMMYFUNCTION("IMPORTRANGE(""https://docs.google.com/spreadsheets/d/11923uPwbBZFjjGgGUA6NLw09EwE0CqkOc4q9oUmW1yo/edit?usp=sharing"",""เชียงใหม่!I487"")"),0)</f>
        <v>0</v>
      </c>
      <c r="J592" s="187">
        <f ca="1">IFERROR(__xludf.DUMMYFUNCTION("IMPORTRANGE(""https://docs.google.com/spreadsheets/d/11923uPwbBZFjjGgGUA6NLw09EwE0CqkOc4q9oUmW1yo/edit?usp=sharing"",""เชียงใหม่!J487"")"),7.26)</f>
        <v>7.26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IFERROR(__xludf.DUMMYFUNCTION("IMPORTRANGE(""https://docs.google.com/spreadsheets/d/11923uPwbBZFjjGgGUA6NLw09EwE0CqkOc4q9oUmW1yo/edit?usp=sharing"",""เชียงใหม่!I488"")"),30)</f>
        <v>30</v>
      </c>
      <c r="J593" s="187">
        <f ca="1">IFERROR(__xludf.DUMMYFUNCTION("IMPORTRANGE(""https://docs.google.com/spreadsheets/d/11923uPwbBZFjjGgGUA6NLw09EwE0CqkOc4q9oUmW1yo/edit?usp=sharing"",""เชียงใหม่!J488"")"),0)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IFERROR(__xludf.DUMMYFUNCTION("IMPORTRANGE(""https://docs.google.com/spreadsheets/d/11923uPwbBZFjjGgGUA6NLw09EwE0CqkOc4q9oUmW1yo/edit?usp=sharing"",""เชียงใหม่!I489"")"),0)</f>
        <v>0</v>
      </c>
      <c r="J594" s="187">
        <f ca="1">IFERROR(__xludf.DUMMYFUNCTION("IMPORTRANGE(""https://docs.google.com/spreadsheets/d/11923uPwbBZFjjGgGUA6NLw09EwE0CqkOc4q9oUmW1yo/edit?usp=sharing"",""เชียงใหม่!J489"")"),0)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IFERROR(__xludf.DUMMYFUNCTION("IMPORTRANGE(""https://docs.google.com/spreadsheets/d/11923uPwbBZFjjGgGUA6NLw09EwE0CqkOc4q9oUmW1yo/edit?usp=sharing"",""เชียงใหม่!I490"")"),30)</f>
        <v>30</v>
      </c>
      <c r="J595" s="187">
        <f ca="1">IFERROR(__xludf.DUMMYFUNCTION("IMPORTRANGE(""https://docs.google.com/spreadsheets/d/11923uPwbBZFjjGgGUA6NLw09EwE0CqkOc4q9oUmW1yo/edit?usp=sharing"",""เชียงใหม่!J490"")"),0)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IFERROR(__xludf.DUMMYFUNCTION("IMPORTRANGE(""https://docs.google.com/spreadsheets/d/11923uPwbBZFjjGgGUA6NLw09EwE0CqkOc4q9oUmW1yo/edit?usp=sharing"",""เชียงใหม่!I491"")"),0)</f>
        <v>0</v>
      </c>
      <c r="J596" s="241">
        <f ca="1">IFERROR(__xludf.DUMMYFUNCTION("IMPORTRANGE(""https://docs.google.com/spreadsheets/d/11923uPwbBZFjjGgGUA6NLw09EwE0CqkOc4q9oUmW1yo/edit?usp=sharing"",""เชียงใหม่!J491"")"),0)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IFERROR(__xludf.DUMMYFUNCTION("IMPORTRANGE(""https://docs.google.com/spreadsheets/d/11923uPwbBZFjjGgGUA6NLw09EwE0CqkOc4q9oUmW1yo/edit?usp=sharing"",""เชียงใหม่!I492"")"),100)</f>
        <v>100</v>
      </c>
      <c r="J597" s="488">
        <f ca="1">IFERROR(__xludf.DUMMYFUNCTION("IMPORTRANGE(""https://docs.google.com/spreadsheets/d/11923uPwbBZFjjGgGUA6NLw09EwE0CqkOc4q9oUmW1yo/edit?usp=sharing"",""เชียงใหม่!J492"")"),0)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IFERROR(__xludf.DUMMYFUNCTION("IMPORTRANGE(""https://docs.google.com/spreadsheets/d/11923uPwbBZFjjGgGUA6NLw09EwE0CqkOc4q9oUmW1yo/edit?usp=sharing"",""เชียงใหม่!L492"")"),10900)</f>
        <v>10900</v>
      </c>
      <c r="M597" s="411"/>
      <c r="N597" s="411">
        <f ca="1">IFERROR(__xludf.DUMMYFUNCTION("IMPORTRANGE(""https://docs.google.com/spreadsheets/d/11923uPwbBZFjjGgGUA6NLw09EwE0CqkOc4q9oUmW1yo/edit?usp=sharing"",""เชียงใหม่!M492"")"),6080)</f>
        <v>6080</v>
      </c>
      <c r="O597" s="411">
        <f t="shared" ref="O597:O601" ca="1" si="126">+IF(L597&gt;0,N597*100/L597,0)</f>
        <v>55.779816513761467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IFERROR(__xludf.DUMMYFUNCTION("IMPORTRANGE(""https://docs.google.com/spreadsheets/d/11923uPwbBZFjjGgGUA6NLw09EwE0CqkOc4q9oUmW1yo/edit?usp=sharing"",""เชียงใหม่!L493"")"),0)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IFERROR(__xludf.DUMMYFUNCTION("IMPORTRANGE(""https://docs.google.com/spreadsheets/d/11923uPwbBZFjjGgGUA6NLw09EwE0CqkOc4q9oUmW1yo/edit?usp=sharing"",""เชียงใหม่!M493"")"),0)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IFERROR(__xludf.DUMMYFUNCTION("IMPORTRANGE(""https://docs.google.com/spreadsheets/d/11923uPwbBZFjjGgGUA6NLw09EwE0CqkOc4q9oUmW1yo/edit?usp=sharing"",""เชียงใหม่!L494"")"),10900)</f>
        <v>10900</v>
      </c>
      <c r="M599" s="165"/>
      <c r="N599" s="168">
        <f ca="1">IFERROR(__xludf.DUMMYFUNCTION("IMPORTRANGE(""https://docs.google.com/spreadsheets/d/11923uPwbBZFjjGgGUA6NLw09EwE0CqkOc4q9oUmW1yo/edit?usp=sharing"",""เชียงใหม่!M494"")"),6080)</f>
        <v>6080</v>
      </c>
      <c r="O599" s="168">
        <f t="shared" ca="1" si="126"/>
        <v>55.779816513761467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IFERROR(__xludf.DUMMYFUNCTION("IMPORTRANGE(""https://docs.google.com/spreadsheets/d/11923uPwbBZFjjGgGUA6NLw09EwE0CqkOc4q9oUmW1yo/edit?usp=sharing"",""เชียงใหม่!L495"")"),0)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IFERROR(__xludf.DUMMYFUNCTION("IMPORTRANGE(""https://docs.google.com/spreadsheets/d/11923uPwbBZFjjGgGUA6NLw09EwE0CqkOc4q9oUmW1yo/edit?usp=sharing"",""เชียงใหม่!M495"")"),0)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IFERROR(__xludf.DUMMYFUNCTION("IMPORTRANGE(""https://docs.google.com/spreadsheets/d/11923uPwbBZFjjGgGUA6NLw09EwE0CqkOc4q9oUmW1yo/edit?usp=sharing"",""เชียงใหม่!L496"")"),10900)</f>
        <v>10900</v>
      </c>
      <c r="M601" s="168"/>
      <c r="N601" s="168">
        <f ca="1">IFERROR(__xludf.DUMMYFUNCTION("IMPORTRANGE(""https://docs.google.com/spreadsheets/d/11923uPwbBZFjjGgGUA6NLw09EwE0CqkOc4q9oUmW1yo/edit?usp=sharing"",""เชียงใหม่!M496"")"),6080)</f>
        <v>6080</v>
      </c>
      <c r="O601" s="168">
        <f t="shared" ca="1" si="126"/>
        <v>55.779816513761467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IFERROR(__xludf.DUMMYFUNCTION("IMPORTRANGE(""https://docs.google.com/spreadsheets/d/11923uPwbBZFjjGgGUA6NLw09EwE0CqkOc4q9oUmW1yo/edit?usp=sharing"",""เชียงใหม่!M497"")"),0)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IFERROR(__xludf.DUMMYFUNCTION("IMPORTRANGE(""https://docs.google.com/spreadsheets/d/11923uPwbBZFjjGgGUA6NLw09EwE0CqkOc4q9oUmW1yo/edit?usp=sharing"",""เชียงใหม่!M498"")"),0)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IFERROR(__xludf.DUMMYFUNCTION("IMPORTRANGE(""https://docs.google.com/spreadsheets/d/11923uPwbBZFjjGgGUA6NLw09EwE0CqkOc4q9oUmW1yo/edit?usp=sharing"",""เชียงใหม่!M499"")"),0)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IFERROR(__xludf.DUMMYFUNCTION("IMPORTRANGE(""https://docs.google.com/spreadsheets/d/11923uPwbBZFjjGgGUA6NLw09EwE0CqkOc4q9oUmW1yo/edit?usp=sharing"",""เชียงใหม่!M500"")"),6080)</f>
        <v>6080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IFERROR(__xludf.DUMMYFUNCTION("IMPORTRANGE(""https://docs.google.com/spreadsheets/d/11923uPwbBZFjjGgGUA6NLw09EwE0CqkOc4q9oUmW1yo/edit?usp=sharing"",""เชียงใหม่!J502"")"),0)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IFERROR(__xludf.DUMMYFUNCTION("IMPORTRANGE(""https://docs.google.com/spreadsheets/d/11923uPwbBZFjjGgGUA6NLw09EwE0CqkOc4q9oUmW1yo/edit?usp=sharing"",""เชียงใหม่!J503"")"),1)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IFERROR(__xludf.DUMMYFUNCTION("IMPORTRANGE(""https://docs.google.com/spreadsheets/d/11923uPwbBZFjjGgGUA6NLw09EwE0CqkOc4q9oUmW1yo/edit?usp=sharing"",""เชียงใหม่!J166"")"),0)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IFERROR(__xludf.DUMMYFUNCTION("IMPORTRANGE(""https://docs.google.com/spreadsheets/d/11923uPwbBZFjjGgGUA6NLw09EwE0CqkOc4q9oUmW1yo/edit?usp=sharing"",""เชียงใหม่!J166"")"),0)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IFERROR(__xludf.DUMMYFUNCTION("IMPORTRANGE(""https://docs.google.com/spreadsheets/d/11923uPwbBZFjjGgGUA6NLw09EwE0CqkOc4q9oUmW1yo/edit?usp=sharing"",""เชียงใหม่!I506"")"),100)</f>
        <v>100</v>
      </c>
      <c r="J611" s="162">
        <f ca="1">IFERROR(__xludf.DUMMYFUNCTION("IMPORTRANGE(""https://docs.google.com/spreadsheets/d/11923uPwbBZFjjGgGUA6NLw09EwE0CqkOc4q9oUmW1yo/edit?usp=sharing"",""เชียงใหม่!J506"")"),0)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IFERROR(__xludf.DUMMYFUNCTION("IMPORTRANGE(""https://docs.google.com/spreadsheets/d/11923uPwbBZFjjGgGUA6NLw09EwE0CqkOc4q9oUmW1yo/edit?usp=sharing"",""เชียงใหม่!I507"")"),0)</f>
        <v>0</v>
      </c>
      <c r="J612" s="197">
        <f ca="1">IFERROR(__xludf.DUMMYFUNCTION("IMPORTRANGE(""https://docs.google.com/spreadsheets/d/11923uPwbBZFjjGgGUA6NLw09EwE0CqkOc4q9oUmW1yo/edit?usp=sharing"",""เชียงใหม่!J507"")"),110.75)</f>
        <v>110.75</v>
      </c>
      <c r="K612" s="163">
        <f t="shared" ca="1" si="127"/>
        <v>110.75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IFERROR(__xludf.DUMMYFUNCTION("IMPORTRANGE(""https://docs.google.com/spreadsheets/d/11923uPwbBZFjjGgGUA6NLw09EwE0CqkOc4q9oUmW1yo/edit?usp=sharing"",""เชียงใหม่!I508"")"),0)</f>
        <v>0</v>
      </c>
      <c r="J613" s="197">
        <f ca="1">IFERROR(__xludf.DUMMYFUNCTION("IMPORTRANGE(""https://docs.google.com/spreadsheets/d/11923uPwbBZFjjGgGUA6NLw09EwE0CqkOc4q9oUmW1yo/edit?usp=sharing"",""เชียงใหม่!J508"")"),110.75)</f>
        <v>110.75</v>
      </c>
      <c r="K613" s="163">
        <f t="shared" ca="1" si="127"/>
        <v>110.75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IFERROR(__xludf.DUMMYFUNCTION("IMPORTRANGE(""https://docs.google.com/spreadsheets/d/11923uPwbBZFjjGgGUA6NLw09EwE0CqkOc4q9oUmW1yo/edit?usp=sharing"",""เชียงใหม่!I509"")"),0)</f>
        <v>0</v>
      </c>
      <c r="J614" s="197">
        <f ca="1">IFERROR(__xludf.DUMMYFUNCTION("IMPORTRANGE(""https://docs.google.com/spreadsheets/d/11923uPwbBZFjjGgGUA6NLw09EwE0CqkOc4q9oUmW1yo/edit?usp=sharing"",""เชียงใหม่!J509"")"),110.75)</f>
        <v>110.75</v>
      </c>
      <c r="K614" s="163">
        <f t="shared" ca="1" si="127"/>
        <v>110.75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IFERROR(__xludf.DUMMYFUNCTION("IMPORTRANGE(""https://docs.google.com/spreadsheets/d/11923uPwbBZFjjGgGUA6NLw09EwE0CqkOc4q9oUmW1yo/edit?usp=sharing"",""เชียงใหม่!I510"")"),0)</f>
        <v>0</v>
      </c>
      <c r="J615" s="197">
        <f ca="1">IFERROR(__xludf.DUMMYFUNCTION("IMPORTRANGE(""https://docs.google.com/spreadsheets/d/11923uPwbBZFjjGgGUA6NLw09EwE0CqkOc4q9oUmW1yo/edit?usp=sharing"",""เชียงใหม่!J510"")"),110.75)</f>
        <v>110.75</v>
      </c>
      <c r="K615" s="163">
        <f t="shared" ca="1" si="127"/>
        <v>110.75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IFERROR(__xludf.DUMMYFUNCTION("IMPORTRANGE(""https://docs.google.com/spreadsheets/d/11923uPwbBZFjjGgGUA6NLw09EwE0CqkOc4q9oUmW1yo/edit?usp=sharing"",""เชียงใหม่!I511"")"),0)</f>
        <v>0</v>
      </c>
      <c r="J616" s="197">
        <f ca="1">IFERROR(__xludf.DUMMYFUNCTION("IMPORTRANGE(""https://docs.google.com/spreadsheets/d/11923uPwbBZFjjGgGUA6NLw09EwE0CqkOc4q9oUmW1yo/edit?usp=sharing"",""เชียงใหม่!J511"")"),0)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IFERROR(__xludf.DUMMYFUNCTION("IMPORTRANGE(""https://docs.google.com/spreadsheets/d/11923uPwbBZFjjGgGUA6NLw09EwE0CqkOc4q9oUmW1yo/edit?usp=sharing"",""เชียงใหม่!I512"")"),0)</f>
        <v>0</v>
      </c>
      <c r="J617" s="187">
        <f ca="1">IFERROR(__xludf.DUMMYFUNCTION("IMPORTRANGE(""https://docs.google.com/spreadsheets/d/11923uPwbBZFjjGgGUA6NLw09EwE0CqkOc4q9oUmW1yo/edit?usp=sharing"",""เชียงใหม่!J512"")"),0)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IFERROR(__xludf.DUMMYFUNCTION("IMPORTRANGE(""https://docs.google.com/spreadsheets/d/11923uPwbBZFjjGgGUA6NLw09EwE0CqkOc4q9oUmW1yo/edit?usp=sharing"",""เชียงใหม่!I513"")"),0)</f>
        <v>0</v>
      </c>
      <c r="J618" s="188">
        <f ca="1">IFERROR(__xludf.DUMMYFUNCTION("IMPORTRANGE(""https://docs.google.com/spreadsheets/d/11923uPwbBZFjjGgGUA6NLw09EwE0CqkOc4q9oUmW1yo/edit?usp=sharing"",""เชียงใหม่!J513"")"),0)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IFERROR(__xludf.DUMMYFUNCTION("IMPORTRANGE(""https://docs.google.com/spreadsheets/d/11923uPwbBZFjjGgGUA6NLw09EwE0CqkOc4q9oUmW1yo/edit?usp=sharing"",""เชียงใหม่!I514"")"),0)</f>
        <v>0</v>
      </c>
      <c r="J619" s="188">
        <f ca="1">IFERROR(__xludf.DUMMYFUNCTION("IMPORTRANGE(""https://docs.google.com/spreadsheets/d/11923uPwbBZFjjGgGUA6NLw09EwE0CqkOc4q9oUmW1yo/edit?usp=sharing"",""เชียงใหม่!J514"")"),0)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IFERROR(__xludf.DUMMYFUNCTION("IMPORTRANGE(""https://docs.google.com/spreadsheets/d/11923uPwbBZFjjGgGUA6NLw09EwE0CqkOc4q9oUmW1yo/edit?usp=sharing"",""เชียงใหม่!I515"")"),100)</f>
        <v>100</v>
      </c>
      <c r="J620" s="202">
        <f ca="1">IFERROR(__xludf.DUMMYFUNCTION("IMPORTRANGE(""https://docs.google.com/spreadsheets/d/11923uPwbBZFjjGgGUA6NLw09EwE0CqkOc4q9oUmW1yo/edit?usp=sharing"",""เชียงใหม่!J515"")"),0)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IFERROR(__xludf.DUMMYFUNCTION("IMPORTRANGE(""https://docs.google.com/spreadsheets/d/11923uPwbBZFjjGgGUA6NLw09EwE0CqkOc4q9oUmW1yo/edit?usp=sharing"",""เชียงใหม่!I516"")"),0)</f>
        <v>0</v>
      </c>
      <c r="J621" s="202">
        <f ca="1">IFERROR(__xludf.DUMMYFUNCTION("IMPORTRANGE(""https://docs.google.com/spreadsheets/d/11923uPwbBZFjjGgGUA6NLw09EwE0CqkOc4q9oUmW1yo/edit?usp=sharing"",""เชียงใหม่!J516"")"),0)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IFERROR(__xludf.DUMMYFUNCTION("IMPORTRANGE(""https://docs.google.com/spreadsheets/d/11923uPwbBZFjjGgGUA6NLw09EwE0CqkOc4q9oUmW1yo/edit?usp=sharing"",""เชียงใหม่!I517"")"),0)</f>
        <v>0</v>
      </c>
      <c r="J622" s="188">
        <f ca="1">IFERROR(__xludf.DUMMYFUNCTION("IMPORTRANGE(""https://docs.google.com/spreadsheets/d/11923uPwbBZFjjGgGUA6NLw09EwE0CqkOc4q9oUmW1yo/edit?usp=sharing"",""เชียงใหม่!J517"")"),0)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IFERROR(__xludf.DUMMYFUNCTION("IMPORTRANGE(""https://docs.google.com/spreadsheets/d/11923uPwbBZFjjGgGUA6NLw09EwE0CqkOc4q9oUmW1yo/edit?usp=sharing"",""เชียงใหม่!I518"")"),0)</f>
        <v>0</v>
      </c>
      <c r="J623" s="188">
        <f ca="1">IFERROR(__xludf.DUMMYFUNCTION("IMPORTRANGE(""https://docs.google.com/spreadsheets/d/11923uPwbBZFjjGgGUA6NLw09EwE0CqkOc4q9oUmW1yo/edit?usp=sharing"",""เชียงใหม่!J518"")"),0)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IFERROR(__xludf.DUMMYFUNCTION("IMPORTRANGE(""https://docs.google.com/spreadsheets/d/11923uPwbBZFjjGgGUA6NLw09EwE0CqkOc4q9oUmW1yo/edit?usp=sharing"",""เชียงใหม่!I519"")"),0)</f>
        <v>0</v>
      </c>
      <c r="J624" s="187">
        <f ca="1">IFERROR(__xludf.DUMMYFUNCTION("IMPORTRANGE(""https://docs.google.com/spreadsheets/d/11923uPwbBZFjjGgGUA6NLw09EwE0CqkOc4q9oUmW1yo/edit?usp=sharing"",""เชียงใหม่!J519"")"),0)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IFERROR(__xludf.DUMMYFUNCTION("IMPORTRANGE(""https://docs.google.com/spreadsheets/d/11923uPwbBZFjjGgGUA6NLw09EwE0CqkOc4q9oUmW1yo/edit?usp=sharing"",""เชียงใหม่!I520"")"),0)</f>
        <v>0</v>
      </c>
      <c r="J625" s="188">
        <f ca="1">IFERROR(__xludf.DUMMYFUNCTION("IMPORTRANGE(""https://docs.google.com/spreadsheets/d/11923uPwbBZFjjGgGUA6NLw09EwE0CqkOc4q9oUmW1yo/edit?usp=sharing"",""เชียงใหม่!J520"")"),0)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IFERROR(__xludf.DUMMYFUNCTION("IMPORTRANGE(""https://docs.google.com/spreadsheets/d/11923uPwbBZFjjGgGUA6NLw09EwE0CqkOc4q9oUmW1yo/edit?usp=sharing"",""เชียงใหม่!I521"")"),0)</f>
        <v>0</v>
      </c>
      <c r="J626" s="188">
        <f ca="1">IFERROR(__xludf.DUMMYFUNCTION("IMPORTRANGE(""https://docs.google.com/spreadsheets/d/11923uPwbBZFjjGgGUA6NLw09EwE0CqkOc4q9oUmW1yo/edit?usp=sharing"",""เชียงใหม่!J521"")"),100)</f>
        <v>100</v>
      </c>
      <c r="K626" s="163">
        <f t="shared" ca="1" si="128"/>
        <v>100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IFERROR(__xludf.DUMMYFUNCTION("IMPORTRANGE(""https://docs.google.com/spreadsheets/d/11923uPwbBZFjjGgGUA6NLw09EwE0CqkOc4q9oUmW1yo/edit?usp=sharing"",""เชียงใหม่!I523"")"),2766411.24)</f>
        <v>2766411.24</v>
      </c>
      <c r="J628" s="341">
        <f ca="1">IFERROR(__xludf.DUMMYFUNCTION("IMPORTRANGE(""https://docs.google.com/spreadsheets/d/11923uPwbBZFjjGgGUA6NLw09EwE0CqkOc4q9oUmW1yo/edit?usp=sharing"",""เชียงใหม่!J523"")"),2284092.05)</f>
        <v>2284092.0499999998</v>
      </c>
      <c r="K628" s="342">
        <f t="shared" ref="K628:K635" ca="1" si="129">IF(I628&gt;0,J628*100/I628,0)</f>
        <v>82.565166630829609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IFERROR(__xludf.DUMMYFUNCTION("IMPORTRANGE(""https://docs.google.com/spreadsheets/d/11923uPwbBZFjjGgGUA6NLw09EwE0CqkOc4q9oUmW1yo/edit?usp=sharing"",""เชียงใหม่!I524"")"),159)</f>
        <v>159</v>
      </c>
      <c r="J629" s="341">
        <f ca="1">IFERROR(__xludf.DUMMYFUNCTION("IMPORTRANGE(""https://docs.google.com/spreadsheets/d/11923uPwbBZFjjGgGUA6NLw09EwE0CqkOc4q9oUmW1yo/edit?usp=sharing"",""เชียงใหม่!J524"")"),123)</f>
        <v>123</v>
      </c>
      <c r="K629" s="342">
        <f t="shared" ca="1" si="129"/>
        <v>77.35849056603773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41">
        <f ca="1">IFERROR(__xludf.DUMMYFUNCTION("IMPORTRANGE(""https://docs.google.com/spreadsheets/d/11923uPwbBZFjjGgGUA6NLw09EwE0CqkOc4q9oUmW1yo/edit?usp=sharing"",""เชียงใหม่!J525"")"),93463.43)</f>
        <v>93463.43</v>
      </c>
      <c r="K630" s="342">
        <f t="shared" ca="1" si="129"/>
        <v>14.676765678017741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IFERROR(__xludf.DUMMYFUNCTION("IMPORTRANGE(""https://docs.google.com/spreadsheets/d/11923uPwbBZFjjGgGUA6NLw09EwE0CqkOc4q9oUmW1yo/edit?usp=sharing"",""เชียงใหม่!I526"")"),41)</f>
        <v>41</v>
      </c>
      <c r="J631" s="341">
        <f ca="1">IFERROR(__xludf.DUMMYFUNCTION("IMPORTRANGE(""https://docs.google.com/spreadsheets/d/11923uPwbBZFjjGgGUA6NLw09EwE0CqkOc4q9oUmW1yo/edit?usp=sharing"",""เชียงใหม่!J526"")"),28)</f>
        <v>28</v>
      </c>
      <c r="K631" s="342">
        <f t="shared" ca="1" si="129"/>
        <v>68.292682926829272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41">
        <f ca="1">IFERROR(__xludf.DUMMYFUNCTION("IMPORTRANGE(""https://docs.google.com/spreadsheets/d/11923uPwbBZFjjGgGUA6NLw09EwE0CqkOc4q9oUmW1yo/edit?usp=sharing"",""เชียงใหม่!J527"")"),32917.6)</f>
        <v>32917.599999999999</v>
      </c>
      <c r="K632" s="342">
        <f t="shared" ca="1" si="129"/>
        <v>32.636961297197658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IFERROR(__xludf.DUMMYFUNCTION("IMPORTRANGE(""https://docs.google.com/spreadsheets/d/11923uPwbBZFjjGgGUA6NLw09EwE0CqkOc4q9oUmW1yo/edit?usp=sharing"",""เชียงใหม่!I528"")"),23)</f>
        <v>23</v>
      </c>
      <c r="J633" s="341">
        <f ca="1">IFERROR(__xludf.DUMMYFUNCTION("IMPORTRANGE(""https://docs.google.com/spreadsheets/d/11923uPwbBZFjjGgGUA6NLw09EwE0CqkOc4q9oUmW1yo/edit?usp=sharing"",""เชียงใหม่!J528"")"),19)</f>
        <v>19</v>
      </c>
      <c r="K633" s="342">
        <f t="shared" ca="1" si="129"/>
        <v>82.608695652173907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IFERROR(__xludf.DUMMYFUNCTION("IMPORTRANGE(""https://docs.google.com/spreadsheets/d/11923uPwbBZFjjGgGUA6NLw09EwE0CqkOc4q9oUmW1yo/edit?usp=sharing"",""เชียงใหม่!I529"")"),1890000)</f>
        <v>1890000</v>
      </c>
      <c r="J634" s="341">
        <f ca="1">IFERROR(__xludf.DUMMYFUNCTION("IMPORTRANGE(""https://docs.google.com/spreadsheets/d/11923uPwbBZFjjGgGUA6NLw09EwE0CqkOc4q9oUmW1yo/edit?usp=sharing"",""เชียงใหม่!J529"")"),1890000)</f>
        <v>1890000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IFERROR(__xludf.DUMMYFUNCTION("IMPORTRANGE(""https://docs.google.com/spreadsheets/d/11923uPwbBZFjjGgGUA6NLw09EwE0CqkOc4q9oUmW1yo/edit?usp=sharing"",""เชียงใหม่!I530"")"),63)</f>
        <v>63</v>
      </c>
      <c r="J635" s="505">
        <f ca="1">IFERROR(__xludf.DUMMYFUNCTION("IMPORTRANGE(""https://docs.google.com/spreadsheets/d/11923uPwbBZFjjGgGUA6NLw09EwE0CqkOc4q9oUmW1yo/edit?usp=sharing"",""เชียงใหม่!J530"")"),69)</f>
        <v>69</v>
      </c>
      <c r="K635" s="487">
        <f t="shared" ca="1" si="129"/>
        <v>109.52380952380952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5525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5525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5525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IFERROR(__xludf.DUMMYFUNCTION("IMPORTRANGE(""https://docs.google.com/spreadsheets/d/11923uPwbBZFjjGgGUA6NLw09EwE0CqkOc4q9oUmW1yo/edit?usp=sharing"",""เชียงใหม่!J541"")"),1)</f>
        <v>1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IFERROR(__xludf.DUMMYFUNCTION("IMPORTRANGE(""https://docs.google.com/spreadsheets/d/11923uPwbBZFjjGgGUA6NLw09EwE0CqkOc4q9oUmW1yo/edit?usp=sharing"",""เชียงใหม่!J542"")"),0)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IFERROR(__xludf.DUMMYFUNCTION("IMPORTRANGE(""https://docs.google.com/spreadsheets/d/11923uPwbBZFjjGgGUA6NLw09EwE0CqkOc4q9oUmW1yo/edit?usp=sharing"",""เชียงใหม่!I543"")"),0)</f>
        <v>0</v>
      </c>
      <c r="J648" s="536">
        <f ca="1">IFERROR(__xludf.DUMMYFUNCTION("IMPORTRANGE(""https://docs.google.com/spreadsheets/d/11923uPwbBZFjjGgGUA6NLw09EwE0CqkOc4q9oUmW1yo/edit?usp=sharing"",""เชียงใหม่!J543"")"),0)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IFERROR(__xludf.DUMMYFUNCTION("IMPORTRANGE(""https://docs.google.com/spreadsheets/d/11923uPwbBZFjjGgGUA6NLw09EwE0CqkOc4q9oUmW1yo/edit?usp=sharing"",""เชียงใหม่!L543"")"),0)</f>
        <v>0</v>
      </c>
      <c r="M648" s="521"/>
      <c r="N648" s="538">
        <f ca="1">IFERROR(__xludf.DUMMYFUNCTION("IMPORTRANGE(""https://docs.google.com/spreadsheets/d/11923uPwbBZFjjGgGUA6NLw09EwE0CqkOc4q9oUmW1yo/edit?usp=sharing"",""เชียงใหม่!M543"")"),0)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IFERROR(__xludf.DUMMYFUNCTION("IMPORTRANGE(""https://docs.google.com/spreadsheets/d/11923uPwbBZFjjGgGUA6NLw09EwE0CqkOc4q9oUmW1yo/edit?usp=sharing"",""เชียงใหม่!I544"")"),22)</f>
        <v>22</v>
      </c>
      <c r="J649" s="536">
        <f ca="1">IFERROR(__xludf.DUMMYFUNCTION("IMPORTRANGE(""https://docs.google.com/spreadsheets/d/11923uPwbBZFjjGgGUA6NLw09EwE0CqkOc4q9oUmW1yo/edit?usp=sharing"",""เชียงใหม่!J544"")"),0)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IFERROR(__xludf.DUMMYFUNCTION("IMPORTRANGE(""https://docs.google.com/spreadsheets/d/11923uPwbBZFjjGgGUA6NLw09EwE0CqkOc4q9oUmW1yo/edit?usp=sharing"",""เชียงใหม่!L544"")"),2640)</f>
        <v>2640</v>
      </c>
      <c r="M649" s="521"/>
      <c r="N649" s="538">
        <f ca="1">IFERROR(__xludf.DUMMYFUNCTION("IMPORTRANGE(""https://docs.google.com/spreadsheets/d/11923uPwbBZFjjGgGUA6NLw09EwE0CqkOc4q9oUmW1yo/edit?usp=sharing"",""เชียงใหม่!M544"")"),0)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IFERROR(__xludf.DUMMYFUNCTION("IMPORTRANGE(""https://docs.google.com/spreadsheets/d/11923uPwbBZFjjGgGUA6NLw09EwE0CqkOc4q9oUmW1yo/edit?usp=sharing"",""เชียงใหม่!I545"")"),0)</f>
        <v>0</v>
      </c>
      <c r="J650" s="536">
        <f ca="1">IFERROR(__xludf.DUMMYFUNCTION("IMPORTRANGE(""https://docs.google.com/spreadsheets/d/11923uPwbBZFjjGgGUA6NLw09EwE0CqkOc4q9oUmW1yo/edit?usp=sharing"",""เชียงใหม่!J545"")"),0)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IFERROR(__xludf.DUMMYFUNCTION("IMPORTRANGE(""https://docs.google.com/spreadsheets/d/11923uPwbBZFjjGgGUA6NLw09EwE0CqkOc4q9oUmW1yo/edit?usp=sharing"",""เชียงใหม่!L545"")"),0)</f>
        <v>0</v>
      </c>
      <c r="M650" s="521"/>
      <c r="N650" s="538">
        <f ca="1">IFERROR(__xludf.DUMMYFUNCTION("IMPORTRANGE(""https://docs.google.com/spreadsheets/d/11923uPwbBZFjjGgGUA6NLw09EwE0CqkOc4q9oUmW1yo/edit?usp=sharing"",""เชียงใหม่!M545"")"),0)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IFERROR(__xludf.DUMMYFUNCTION("IMPORTRANGE(""https://docs.google.com/spreadsheets/d/11923uPwbBZFjjGgGUA6NLw09EwE0CqkOc4q9oUmW1yo/edit?usp=sharing"",""เชียงใหม่!I546"")"),101)</f>
        <v>101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IFERROR(__xludf.DUMMYFUNCTION("IMPORTRANGE(""https://docs.google.com/spreadsheets/d/11923uPwbBZFjjGgGUA6NLw09EwE0CqkOc4q9oUmW1yo/edit?usp=sharing"",""เชียงใหม่!L546"")"),2525)</f>
        <v>2525</v>
      </c>
      <c r="M651" s="521"/>
      <c r="N651" s="538">
        <f ca="1">IFERROR(__xludf.DUMMYFUNCTION("IMPORTRANGE(""https://docs.google.com/spreadsheets/d/11923uPwbBZFjjGgGUA6NLw09EwE0CqkOc4q9oUmW1yo/edit?usp=sharing"",""เชียงใหม่!M546"")"),0)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IFERROR(__xludf.DUMMYFUNCTION("IMPORTRANGE(""https://docs.google.com/spreadsheets/d/11923uPwbBZFjjGgGUA6NLw09EwE0CqkOc4q9oUmW1yo/edit?usp=sharing"",""เชียงใหม่!J547"")"),0)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IFERROR(__xludf.DUMMYFUNCTION("IMPORTRANGE(""https://docs.google.com/spreadsheets/d/11923uPwbBZFjjGgGUA6NLw09EwE0CqkOc4q9oUmW1yo/edit?usp=sharing"",""เชียงใหม่!J548"")"),0)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IFERROR(__xludf.DUMMYFUNCTION("IMPORTRANGE(""https://docs.google.com/spreadsheets/d/11923uPwbBZFjjGgGUA6NLw09EwE0CqkOc4q9oUmW1yo/edit?usp=sharing"",""เชียงใหม่!J550"")"),0)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IFERROR(__xludf.DUMMYFUNCTION("IMPORTRANGE(""https://docs.google.com/spreadsheets/d/11923uPwbBZFjjGgGUA6NLw09EwE0CqkOc4q9oUmW1yo/edit?usp=sharing"",""เชียงใหม่!J551"")"),0)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IFERROR(__xludf.DUMMYFUNCTION("IMPORTRANGE(""https://docs.google.com/spreadsheets/d/11923uPwbBZFjjGgGUA6NLw09EwE0CqkOc4q9oUmW1yo/edit?usp=sharing"",""เชียงใหม่!J552"")"),0)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IFERROR(__xludf.DUMMYFUNCTION("IMPORTRANGE(""https://docs.google.com/spreadsheets/d/11923uPwbBZFjjGgGUA6NLw09EwE0CqkOc4q9oUmW1yo/edit?usp=sharing"",""เชียงใหม่!J553"")"),0)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IFERROR(__xludf.DUMMYFUNCTION("IMPORTRANGE(""https://docs.google.com/spreadsheets/d/11923uPwbBZFjjGgGUA6NLw09EwE0CqkOc4q9oUmW1yo/edit?usp=sharing"",""เชียงใหม่!J554"")"),0)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IFERROR(__xludf.DUMMYFUNCTION("IMPORTRANGE(""https://docs.google.com/spreadsheets/d/11923uPwbBZFjjGgGUA6NLw09EwE0CqkOc4q9oUmW1yo/edit?usp=sharing"",""เชียงใหม่!J555"")"),0)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IFERROR(__xludf.DUMMYFUNCTION("IMPORTRANGE(""https://docs.google.com/spreadsheets/d/11923uPwbBZFjjGgGUA6NLw09EwE0CqkOc4q9oUmW1yo/edit?usp=sharing"",""เชียงใหม่!J556"")"),0)</f>
        <v>0</v>
      </c>
      <c r="K661" s="537"/>
      <c r="L661" s="522">
        <f ca="1">IFERROR(__xludf.DUMMYFUNCTION("IMPORTRANGE(""https://docs.google.com/spreadsheets/d/11923uPwbBZFjjGgGUA6NLw09EwE0CqkOc4q9oUmW1yo/edit?usp=sharing"",""เชียงใหม่!L556"")"),360)</f>
        <v>360</v>
      </c>
      <c r="M661" s="521"/>
      <c r="N661" s="538">
        <f ca="1">IFERROR(__xludf.DUMMYFUNCTION("IMPORTRANGE(""https://docs.google.com/spreadsheets/d/11923uPwbBZFjjGgGUA6NLw09EwE0CqkOc4q9oUmW1yo/edit?usp=sharing"",""เชียงใหม่!M556"")"),0)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IFERROR(__xludf.DUMMYFUNCTION("IMPORTRANGE(""https://docs.google.com/spreadsheets/d/11923uPwbBZFjjGgGUA6NLw09EwE0CqkOc4q9oUmW1yo/edit?usp=sharing"",""เชียงใหม่!J557"")"),0)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IFERROR(__xludf.DUMMYFUNCTION("IMPORTRANGE(""https://docs.google.com/spreadsheets/d/11923uPwbBZFjjGgGUA6NLw09EwE0CqkOc4q9oUmW1yo/edit?usp=sharing"",""เชียงใหม่!I558"")"),9)</f>
        <v>9</v>
      </c>
      <c r="J663" s="536">
        <f ca="1">IFERROR(__xludf.DUMMYFUNCTION("IMPORTRANGE(""https://docs.google.com/spreadsheets/d/11923uPwbBZFjjGgGUA6NLw09EwE0CqkOc4q9oUmW1yo/edit?usp=sharing"",""เชียงใหม่!J558"")"),0)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IFERROR(__xludf.DUMMYFUNCTION("IMPORTRANGE(""https://docs.google.com/spreadsheets/d/11923uPwbBZFjjGgGUA6NLw09EwE0CqkOc4q9oUmW1yo/edit?usp=sharing"",""เชียงใหม่!I560"")"),0)</f>
        <v>0</v>
      </c>
      <c r="J665" s="536">
        <f ca="1">IFERROR(__xludf.DUMMYFUNCTION("IMPORTRANGE(""https://docs.google.com/spreadsheets/d/11923uPwbBZFjjGgGUA6NLw09EwE0CqkOc4q9oUmW1yo/edit?usp=sharing"",""เชียงใหม่!J560"")"),0)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IFERROR(__xludf.DUMMYFUNCTION("IMPORTRANGE(""https://docs.google.com/spreadsheets/d/11923uPwbBZFjjGgGUA6NLw09EwE0CqkOc4q9oUmW1yo/edit?usp=sharing"",""เชียงใหม่!L560"")"),0)</f>
        <v>0</v>
      </c>
      <c r="M665" s="521"/>
      <c r="N665" s="538">
        <f ca="1">IFERROR(__xludf.DUMMYFUNCTION("IMPORTRANGE(""https://docs.google.com/spreadsheets/d/11923uPwbBZFjjGgGUA6NLw09EwE0CqkOc4q9oUmW1yo/edit?usp=sharing"",""เชียงใหม่!M560"")"),0)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IFERROR(__xludf.DUMMYFUNCTION("IMPORTRANGE(""https://docs.google.com/spreadsheets/d/11923uPwbBZFjjGgGUA6NLw09EwE0CqkOc4q9oUmW1yo/edit?usp=sharing"",""เชียงใหม่!J561"")"),0)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IFERROR(__xludf.DUMMYFUNCTION("IMPORTRANGE(""https://docs.google.com/spreadsheets/d/11923uPwbBZFjjGgGUA6NLw09EwE0CqkOc4q9oUmW1yo/edit?usp=sharing"",""เชียงใหม่!J562"")"),0)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IFERROR(__xludf.DUMMYFUNCTION("IMPORTRANGE(""https://docs.google.com/spreadsheets/d/11923uPwbBZFjjGgGUA6NLw09EwE0CqkOc4q9oUmW1yo/edit?usp=sharing"",""เชียงใหม่!I563"")"),0)</f>
        <v>0</v>
      </c>
      <c r="J668" s="536">
        <f ca="1">IFERROR(__xludf.DUMMYFUNCTION("IMPORTRANGE(""https://docs.google.com/spreadsheets/d/11923uPwbBZFjjGgGUA6NLw09EwE0CqkOc4q9oUmW1yo/edit?usp=sharing"",""เชียงใหม่!J563"")"),0)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IFERROR(__xludf.DUMMYFUNCTION("IMPORTRANGE(""https://docs.google.com/spreadsheets/d/11923uPwbBZFjjGgGUA6NLw09EwE0CqkOc4q9oUmW1yo/edit?usp=sharing"",""เชียงใหม่!L563"")"),0)</f>
        <v>0</v>
      </c>
      <c r="M668" s="521"/>
      <c r="N668" s="538">
        <f ca="1">IFERROR(__xludf.DUMMYFUNCTION("IMPORTRANGE(""https://docs.google.com/spreadsheets/d/11923uPwbBZFjjGgGUA6NLw09EwE0CqkOc4q9oUmW1yo/edit?usp=sharing"",""เชียงใหม่!M563"")"),0)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IFERROR(__xludf.DUMMYFUNCTION("IMPORTRANGE(""https://docs.google.com/spreadsheets/d/11923uPwbBZFjjGgGUA6NLw09EwE0CqkOc4q9oUmW1yo/edit?usp=sharing"",""เชียงใหม่!J564"")"),0)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IFERROR(__xludf.DUMMYFUNCTION("IMPORTRANGE(""https://docs.google.com/spreadsheets/d/11923uPwbBZFjjGgGUA6NLw09EwE0CqkOc4q9oUmW1yo/edit?usp=sharing"",""เชียงใหม่!J565"")"),0)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IFERROR(__xludf.DUMMYFUNCTION("IMPORTRANGE(""https://docs.google.com/spreadsheets/d/11923uPwbBZFjjGgGUA6NLw09EwE0CqkOc4q9oUmW1yo/edit?usp=sharing"",""เชียงใหม่!I566"")"),0)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IFERROR(__xludf.DUMMYFUNCTION("IMPORTRANGE(""https://docs.google.com/spreadsheets/d/11923uPwbBZFjjGgGUA6NLw09EwE0CqkOc4q9oUmW1yo/edit?usp=sharing"",""เชียงใหม่!L566"")"),0)</f>
        <v>0</v>
      </c>
      <c r="M671" s="521"/>
      <c r="N671" s="538">
        <f ca="1">IFERROR(__xludf.DUMMYFUNCTION("IMPORTRANGE(""https://docs.google.com/spreadsheets/d/11923uPwbBZFjjGgGUA6NLw09EwE0CqkOc4q9oUmW1yo/edit?usp=sharing"",""เชียงใหม่!M566"")"),0)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IFERROR(__xludf.DUMMYFUNCTION("IMPORTRANGE(""https://docs.google.com/spreadsheets/d/11923uPwbBZFjjGgGUA6NLw09EwE0CqkOc4q9oUmW1yo/edit?usp=sharing"",""เชียงใหม่!J567"")"),0)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IFERROR(__xludf.DUMMYFUNCTION("IMPORTRANGE(""https://docs.google.com/spreadsheets/d/11923uPwbBZFjjGgGUA6NLw09EwE0CqkOc4q9oUmW1yo/edit?usp=sharing"",""เชียงใหม่!J568"")"),0)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IFERROR(__xludf.DUMMYFUNCTION("IMPORTRANGE(""https://docs.google.com/spreadsheets/d/11923uPwbBZFjjGgGUA6NLw09EwE0CqkOc4q9oUmW1yo/edit?usp=sharing"",""เชียงใหม่!J569"")"),0)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IFERROR(__xludf.DUMMYFUNCTION("IMPORTRANGE(""https://docs.google.com/spreadsheets/d/11923uPwbBZFjjGgGUA6NLw09EwE0CqkOc4q9oUmW1yo/edit?usp=sharing"",""เชียงใหม่!J570"")"),0)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IFERROR(__xludf.DUMMYFUNCTION("IMPORTRANGE(""https://docs.google.com/spreadsheets/d/11923uPwbBZFjjGgGUA6NLw09EwE0CqkOc4q9oUmW1yo/edit?usp=sharing"",""เชียงใหม่!J571"")"),0)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IFERROR(__xludf.DUMMYFUNCTION("IMPORTRANGE(""https://docs.google.com/spreadsheets/d/11923uPwbBZFjjGgGUA6NLw09EwE0CqkOc4q9oUmW1yo/edit?usp=sharing"",""เชียงใหม่!J572"")"),0)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A3:P3"/>
    <mergeCell ref="A2:P2"/>
    <mergeCell ref="A1:P1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266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4700448</v>
      </c>
      <c r="M8" s="23">
        <f t="shared" ca="1" si="0"/>
        <v>3068899</v>
      </c>
      <c r="N8" s="23">
        <f t="shared" ca="1" si="0"/>
        <v>3559568.36</v>
      </c>
      <c r="O8" s="22">
        <f t="shared" ref="O8:O16" ca="1" si="1">IF(L8&gt;0,N8*100/L8,0)</f>
        <v>75.728278666203735</v>
      </c>
      <c r="P8" s="22">
        <f t="shared" ref="P8:P16" ca="1" si="2">IF(M8&gt;0,N8*100/M8,0)</f>
        <v>115.98844927773771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4700448</v>
      </c>
      <c r="M10" s="30">
        <f t="shared" ca="1" si="4"/>
        <v>3068899</v>
      </c>
      <c r="N10" s="30">
        <f t="shared" ca="1" si="4"/>
        <v>3559568.36</v>
      </c>
      <c r="O10" s="29">
        <f t="shared" ca="1" si="1"/>
        <v>75.728278666203735</v>
      </c>
      <c r="P10" s="29">
        <f t="shared" ca="1" si="2"/>
        <v>115.98844927773771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4469828</v>
      </c>
      <c r="M12" s="39">
        <f t="shared" ca="1" si="6"/>
        <v>2838279</v>
      </c>
      <c r="N12" s="39">
        <f t="shared" ca="1" si="6"/>
        <v>3328948.36</v>
      </c>
      <c r="O12" s="39">
        <f t="shared" ca="1" si="1"/>
        <v>74.475983415916673</v>
      </c>
      <c r="P12" s="39">
        <f t="shared" ca="1" si="2"/>
        <v>117.28756616245266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1854900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2614928</v>
      </c>
      <c r="M14" s="39">
        <f t="shared" si="8"/>
        <v>0</v>
      </c>
      <c r="N14" s="39">
        <f t="shared" ca="1" si="8"/>
        <v>1293259.5</v>
      </c>
      <c r="O14" s="39">
        <f t="shared" ca="1" si="1"/>
        <v>49.456791926967014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230620</v>
      </c>
      <c r="M16" s="39">
        <f t="shared" ca="1" si="10"/>
        <v>230620</v>
      </c>
      <c r="N16" s="39">
        <f t="shared" ca="1" si="10"/>
        <v>230620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2907220</v>
      </c>
      <c r="M18" s="23">
        <f t="shared" ca="1" si="11"/>
        <v>3068899</v>
      </c>
      <c r="N18" s="23">
        <f t="shared" ca="1" si="11"/>
        <v>2266308.86</v>
      </c>
      <c r="O18" s="22">
        <f t="shared" ref="O18:O20" ca="1" si="12">IF(L18&gt;0,N18*100/L18,0)</f>
        <v>77.954501551310187</v>
      </c>
      <c r="P18" s="22">
        <f t="shared" ref="P18:P26" ca="1" si="13">IF(M18&gt;0,N18*100/M18,0)</f>
        <v>73.847619618631953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2907220</v>
      </c>
      <c r="M20" s="30">
        <f t="shared" ca="1" si="15"/>
        <v>3068899</v>
      </c>
      <c r="N20" s="30">
        <f t="shared" ca="1" si="15"/>
        <v>2266308.86</v>
      </c>
      <c r="O20" s="29">
        <f t="shared" ca="1" si="12"/>
        <v>77.954501551310187</v>
      </c>
      <c r="P20" s="29">
        <f t="shared" ca="1" si="13"/>
        <v>73.847619618631953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2676600</v>
      </c>
      <c r="M22" s="42">
        <f t="shared" ca="1" si="18"/>
        <v>2838279</v>
      </c>
      <c r="N22" s="39">
        <f t="shared" ca="1" si="18"/>
        <v>2035688.8599999999</v>
      </c>
      <c r="O22" s="39">
        <f t="shared" ca="1" si="17"/>
        <v>76.055027273406566</v>
      </c>
      <c r="P22" s="39">
        <f t="shared" ca="1" si="13"/>
        <v>71.722648125853723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1854900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821700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230620</v>
      </c>
      <c r="M26" s="50">
        <f t="shared" ca="1" si="22"/>
        <v>230620</v>
      </c>
      <c r="N26" s="50">
        <f t="shared" ca="1" si="22"/>
        <v>230620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1793228</v>
      </c>
      <c r="M28" s="23">
        <f t="shared" si="23"/>
        <v>0</v>
      </c>
      <c r="N28" s="23">
        <f t="shared" ca="1" si="23"/>
        <v>1293259.5</v>
      </c>
      <c r="O28" s="22">
        <f t="shared" ref="O28:O30" ca="1" si="24">IF(L28&gt;0,N28*100/L28,0)</f>
        <v>72.119077997889832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1793228</v>
      </c>
      <c r="M30" s="30">
        <f t="shared" si="27"/>
        <v>0</v>
      </c>
      <c r="N30" s="30">
        <f t="shared" ca="1" si="27"/>
        <v>1293259.5</v>
      </c>
      <c r="O30" s="29">
        <f t="shared" ca="1" si="24"/>
        <v>72.119077997889832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1793228</v>
      </c>
      <c r="M32" s="39">
        <f t="shared" si="30"/>
        <v>0</v>
      </c>
      <c r="N32" s="39">
        <f t="shared" ca="1" si="30"/>
        <v>1293259.5</v>
      </c>
      <c r="O32" s="39">
        <f t="shared" ca="1" si="29"/>
        <v>72.119077997889832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1793228</v>
      </c>
      <c r="M34" s="39">
        <f t="shared" si="32"/>
        <v>0</v>
      </c>
      <c r="N34" s="39">
        <f t="shared" ca="1" si="32"/>
        <v>1293259.5</v>
      </c>
      <c r="O34" s="39">
        <f t="shared" ca="1" si="29"/>
        <v>72.119077997889832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2907220</v>
      </c>
      <c r="M37" s="55">
        <f t="shared" ca="1" si="33"/>
        <v>3068899</v>
      </c>
      <c r="N37" s="55">
        <f t="shared" ca="1" si="33"/>
        <v>2266308.86</v>
      </c>
      <c r="O37" s="56">
        <f t="shared" ca="1" si="29"/>
        <v>77.954501551310187</v>
      </c>
      <c r="P37" s="56">
        <f t="shared" ca="1" si="25"/>
        <v>73.847619618631953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694100</v>
      </c>
      <c r="M41" s="79">
        <f t="shared" ca="1" si="34"/>
        <v>694100</v>
      </c>
      <c r="N41" s="79">
        <f t="shared" ca="1" si="34"/>
        <v>450115</v>
      </c>
      <c r="O41" s="78">
        <f t="shared" ref="O41:O43" ca="1" si="35">IF(L41&gt;0,N41*100/L41,0)</f>
        <v>64.848724967583919</v>
      </c>
      <c r="P41" s="78">
        <f t="shared" ref="P41:P43" ca="1" si="36">IF(M41&gt;0,N41*100/M41,0)</f>
        <v>64.848724967583919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694100</v>
      </c>
      <c r="M43" s="79">
        <f t="shared" ca="1" si="38"/>
        <v>694100</v>
      </c>
      <c r="N43" s="79">
        <f t="shared" ca="1" si="38"/>
        <v>450115</v>
      </c>
      <c r="O43" s="78">
        <f t="shared" ca="1" si="35"/>
        <v>64.848724967583919</v>
      </c>
      <c r="P43" s="78">
        <f t="shared" ca="1" si="36"/>
        <v>64.848724967583919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694100</v>
      </c>
      <c r="M45" s="50">
        <f ca="1">IFERROR(__xludf.DUMMYFUNCTION("IMPORTRANGE(""https://docs.google.com/spreadsheets/d/1Yj_ptqi66GCucihVvJfMjLAmec39IyEx_6qawtMGysU/edit?usp=sharing"",""สบก!Q23"")"),694100)</f>
        <v>694100</v>
      </c>
      <c r="N45" s="50">
        <f ca="1">IFERROR(__xludf.DUMMYFUNCTION("IMPORTRANGE(""https://docs.google.com/spreadsheets/d/1Yj_ptqi66GCucihVvJfMjLAmec39IyEx_6qawtMGysU/edit?usp=sharing"",""สบก!R23"")"),450115)</f>
        <v>450115</v>
      </c>
      <c r="O45" s="39">
        <f ca="1">IF(L45&gt;0,N45*100/L45,0)</f>
        <v>64.848724967583919</v>
      </c>
      <c r="P45" s="39">
        <f ca="1">IF(M45&gt;0,N45*100/M45,0)</f>
        <v>64.848724967583919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IFERROR(__xludf.DUMMYFUNCTION("IMPORTRANGE(""https://docs.google.com/spreadsheets/d/1Yj_ptqi66GCucihVvJfMjLAmec39IyEx_6qawtMGysU/edit?usp=sharing"",""สบก!M23"")"),694100)</f>
        <v>694100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IFERROR(__xludf.DUMMYFUNCTION("IMPORTRANGE(""https://docs.google.com/spreadsheets/d/1Yj_ptqi66GCucihVvJfMjLAmec39IyEx_6qawtMGysU/edit?usp=sharing"",""สบก!N23"")"),0)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IFERROR(__xludf.DUMMYFUNCTION("IMPORTRANGE(""https://docs.google.com/spreadsheets/d/1Yj_ptqi66GCucihVvJfMjLAmec39IyEx_6qawtMGysU/edit?usp=sharing"",""สบก!O23"")"),0)</f>
        <v>0</v>
      </c>
      <c r="M49" s="50"/>
      <c r="N49" s="50">
        <f ca="1">IFERROR(__xludf.DUMMYFUNCTION("IMPORTRANGE(""https://docs.google.com/spreadsheets/d/1Yj_ptqi66GCucihVvJfMjLAmec39IyEx_6qawtMGysU/edit?usp=sharing"",""สบก!S23"")"),0)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427763</v>
      </c>
      <c r="N53" s="121">
        <f t="shared" ca="1" si="39"/>
        <v>326613</v>
      </c>
      <c r="O53" s="120">
        <f t="shared" ref="O53:O55" ca="1" si="40">IF(L53&gt;0,N53*100/L53,0)</f>
        <v>81.65325</v>
      </c>
      <c r="P53" s="120">
        <f t="shared" ref="P53:P55" ca="1" si="41">IF(M53&gt;0,N53*100/M53,0)</f>
        <v>76.353728583351057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427763</v>
      </c>
      <c r="N55" s="121">
        <f t="shared" ca="1" si="43"/>
        <v>326613</v>
      </c>
      <c r="O55" s="120">
        <f t="shared" ca="1" si="40"/>
        <v>81.65325</v>
      </c>
      <c r="P55" s="120">
        <f t="shared" ca="1" si="41"/>
        <v>76.353728583351057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IFERROR(__xludf.DUMMYFUNCTION("IMPORTRANGE(""https://docs.google.com/spreadsheets/d/1Yj_ptqi66GCucihVvJfMjLAmec39IyEx_6qawtMGysU/edit?usp=sharing"",""สบก!Z23"")"),427763)</f>
        <v>427763</v>
      </c>
      <c r="N57" s="50">
        <f ca="1">IFERROR(__xludf.DUMMYFUNCTION("IMPORTRANGE(""https://docs.google.com/spreadsheets/d/1Yj_ptqi66GCucihVvJfMjLAmec39IyEx_6qawtMGysU/edit?usp=sharing"",""สบก!AA23"")"),326613)</f>
        <v>326613</v>
      </c>
      <c r="O57" s="39">
        <f ca="1">IF(L57&gt;0,N57*100/L57,0)</f>
        <v>81.65325</v>
      </c>
      <c r="P57" s="39">
        <f ca="1">IF(M57&gt;0,N57*100/M57,0)</f>
        <v>76.353728583351057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IFERROR(__xludf.DUMMYFUNCTION("IMPORTRANGE(""https://docs.google.com/spreadsheets/d/1Yj_ptqi66GCucihVvJfMjLAmec39IyEx_6qawtMGysU/edit?usp=sharing"",""สบก!V23"")"),400000)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IFERROR(__xludf.DUMMYFUNCTION("IMPORTRANGE(""https://docs.google.com/spreadsheets/d/1Yj_ptqi66GCucihVvJfMjLAmec39IyEx_6qawtMGysU/edit?usp=sharing"",""สบก!W23"")"),0)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IFERROR(__xludf.DUMMYFUNCTION("IMPORTRANGE(""https://docs.google.com/spreadsheets/d/1Yj_ptqi66GCucihVvJfMjLAmec39IyEx_6qawtMGysU/edit?usp=sharing"",""สบก!X23"")"),0)</f>
        <v>0</v>
      </c>
      <c r="M61" s="50"/>
      <c r="N61" s="50">
        <f ca="1">IFERROR(__xludf.DUMMYFUNCTION("IMPORTRANGE(""https://docs.google.com/spreadsheets/d/1Yj_ptqi66GCucihVvJfMjLAmec39IyEx_6qawtMGysU/edit?usp=sharing"",""สบก!AB23"")"),0)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IFERROR(__xludf.DUMMYFUNCTION("IMPORTRANGE(""https://docs.google.com/spreadsheets/d/11923uPwbBZFjjGgGUA6NLw09EwE0CqkOc4q9oUmW1yo/edit?usp=sharing"",""ตาก!I9"")"),0)</f>
        <v>0</v>
      </c>
      <c r="J64" s="142">
        <f ca="1">IFERROR(__xludf.DUMMYFUNCTION("IMPORTRANGE(""https://docs.google.com/spreadsheets/d/11923uPwbBZFjjGgGUA6NLw09EwE0CqkOc4q9oUmW1yo/edit?usp=sharing"",""ตาก!J9"")"),0)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IFERROR(__xludf.DUMMYFUNCTION("IMPORTRANGE(""https://docs.google.com/spreadsheets/d/11923uPwbBZFjjGgGUA6NLw09EwE0CqkOc4q9oUmW1yo/edit?usp=sharing"",""ตาก!I10"")"),0)</f>
        <v>0</v>
      </c>
      <c r="J65" s="142">
        <f ca="1">IFERROR(__xludf.DUMMYFUNCTION("IMPORTRANGE(""https://docs.google.com/spreadsheets/d/11923uPwbBZFjjGgGUA6NLw09EwE0CqkOc4q9oUmW1yo/edit?usp=sharing"",""ตาก!J10"")"),0)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IFERROR(__xludf.DUMMYFUNCTION("IMPORTRANGE(""https://docs.google.com/spreadsheets/d/1Yj_ptqi66GCucihVvJfMjLAmec39IyEx_6qawtMGysU/edit?usp=sharing"",""สบก!AI23"")"),0)</f>
        <v>0</v>
      </c>
      <c r="N70" s="168">
        <f ca="1">IFERROR(__xludf.DUMMYFUNCTION("IMPORTRANGE(""https://docs.google.com/spreadsheets/d/1Yj_ptqi66GCucihVvJfMjLAmec39IyEx_6qawtMGysU/edit?usp=sharing"",""สบก!AJ23"")"),0)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IFERROR(__xludf.DUMMYFUNCTION("IMPORTRANGE(""https://docs.google.com/spreadsheets/d/1Yj_ptqi66GCucihVvJfMjLAmec39IyEx_6qawtMGysU/edit?usp=sharing"",""สบก!AE23"")"),0)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IFERROR(__xludf.DUMMYFUNCTION("IMPORTRANGE(""https://docs.google.com/spreadsheets/d/1Yj_ptqi66GCucihVvJfMjLAmec39IyEx_6qawtMGysU/edit?usp=sharing"",""สบก!AF23"")"),0)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IFERROR(__xludf.DUMMYFUNCTION("IMPORTRANGE(""https://docs.google.com/spreadsheets/d/1Yj_ptqi66GCucihVvJfMjLAmec39IyEx_6qawtMGysU/edit?usp=sharing"",""สบก!AG23"")"),0)</f>
        <v>0</v>
      </c>
      <c r="M74" s="50"/>
      <c r="N74" s="50">
        <f ca="1">IFERROR(__xludf.DUMMYFUNCTION("IMPORTRANGE(""https://docs.google.com/spreadsheets/d/1Yj_ptqi66GCucihVvJfMjLAmec39IyEx_6qawtMGysU/edit?usp=sharing"",""สบก!AK23"")"),0)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IFERROR(__xludf.DUMMYFUNCTION("IMPORTRANGE(""https://docs.google.com/spreadsheets/d/11923uPwbBZFjjGgGUA6NLw09EwE0CqkOc4q9oUmW1yo/edit?usp=sharing"",""ตาก!J16"")"),0)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IFERROR(__xludf.DUMMYFUNCTION("IMPORTRANGE(""https://docs.google.com/spreadsheets/d/11923uPwbBZFjjGgGUA6NLw09EwE0CqkOc4q9oUmW1yo/edit?usp=sharing"",""ตาก!J17"")"),0)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IFERROR(__xludf.DUMMYFUNCTION("IMPORTRANGE(""https://docs.google.com/spreadsheets/d/11923uPwbBZFjjGgGUA6NLw09EwE0CqkOc4q9oUmW1yo/edit?usp=sharing"",""ตาก!J18"")"),0)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IFERROR(__xludf.DUMMYFUNCTION("IMPORTRANGE(""https://docs.google.com/spreadsheets/d/11923uPwbBZFjjGgGUA6NLw09EwE0CqkOc4q9oUmW1yo/edit?usp=sharing"",""ตาก!J19"")"),0)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IFERROR(__xludf.DUMMYFUNCTION("IMPORTRANGE(""https://docs.google.com/spreadsheets/d/11923uPwbBZFjjGgGUA6NLw09EwE0CqkOc4q9oUmW1yo/edit?usp=sharing"",""ตาก!I20"")"),0)</f>
        <v>0</v>
      </c>
      <c r="J80" s="200">
        <f ca="1">IFERROR(__xludf.DUMMYFUNCTION("IMPORTRANGE(""https://docs.google.com/spreadsheets/d/11923uPwbBZFjjGgGUA6NLw09EwE0CqkOc4q9oUmW1yo/edit?usp=sharing"",""ตาก!J20"")"),0)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IFERROR(__xludf.DUMMYFUNCTION("IMPORTRANGE(""https://docs.google.com/spreadsheets/d/11923uPwbBZFjjGgGUA6NLw09EwE0CqkOc4q9oUmW1yo/edit?usp=sharing"",""ตาก!I21"")"),0)</f>
        <v>0</v>
      </c>
      <c r="J81" s="200">
        <f ca="1">IFERROR(__xludf.DUMMYFUNCTION("IMPORTRANGE(""https://docs.google.com/spreadsheets/d/11923uPwbBZFjjGgGUA6NLw09EwE0CqkOc4q9oUmW1yo/edit?usp=sharing"",""ตาก!J21"")"),0)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IFERROR(__xludf.DUMMYFUNCTION("IMPORTRANGE(""https://docs.google.com/spreadsheets/d/11923uPwbBZFjjGgGUA6NLw09EwE0CqkOc4q9oUmW1yo/edit?usp=sharing"",""ตาก!I22"")"),0)</f>
        <v>0</v>
      </c>
      <c r="J82" s="203">
        <f ca="1">IFERROR(__xludf.DUMMYFUNCTION("IMPORTRANGE(""https://docs.google.com/spreadsheets/d/11923uPwbBZFjjGgGUA6NLw09EwE0CqkOc4q9oUmW1yo/edit?usp=sharing"",""ตาก!J22"")"),0)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IFERROR(__xludf.DUMMYFUNCTION("IMPORTRANGE(""https://docs.google.com/spreadsheets/d/11923uPwbBZFjjGgGUA6NLw09EwE0CqkOc4q9oUmW1yo/edit?usp=sharing"",""ตาก!I23"")"),0)</f>
        <v>0</v>
      </c>
      <c r="J83" s="203">
        <f ca="1">IFERROR(__xludf.DUMMYFUNCTION("IMPORTRANGE(""https://docs.google.com/spreadsheets/d/11923uPwbBZFjjGgGUA6NLw09EwE0CqkOc4q9oUmW1yo/edit?usp=sharing"",""ตาก!J23"")"),0)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IFERROR(__xludf.DUMMYFUNCTION("IMPORTRANGE(""https://docs.google.com/spreadsheets/d/11923uPwbBZFjjGgGUA6NLw09EwE0CqkOc4q9oUmW1yo/edit?usp=sharing"",""ตาก!I24"")"),0)</f>
        <v>0</v>
      </c>
      <c r="J84" s="188">
        <f ca="1">IFERROR(__xludf.DUMMYFUNCTION("IMPORTRANGE(""https://docs.google.com/spreadsheets/d/11923uPwbBZFjjGgGUA6NLw09EwE0CqkOc4q9oUmW1yo/edit?usp=sharing"",""ตาก!J24"")"),0)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IFERROR(__xludf.DUMMYFUNCTION("IMPORTRANGE(""https://docs.google.com/spreadsheets/d/11923uPwbBZFjjGgGUA6NLw09EwE0CqkOc4q9oUmW1yo/edit?usp=sharing"",""ตาก!I25"")"),0)</f>
        <v>0</v>
      </c>
      <c r="J85" s="188">
        <f ca="1">IFERROR(__xludf.DUMMYFUNCTION("IMPORTRANGE(""https://docs.google.com/spreadsheets/d/11923uPwbBZFjjGgGUA6NLw09EwE0CqkOc4q9oUmW1yo/edit?usp=sharing"",""ตาก!J25"")"),0)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IFERROR(__xludf.DUMMYFUNCTION("IMPORTRANGE(""https://docs.google.com/spreadsheets/d/11923uPwbBZFjjGgGUA6NLw09EwE0CqkOc4q9oUmW1yo/edit?usp=sharing"",""ตาก!I26"")"),0)</f>
        <v>0</v>
      </c>
      <c r="J86" s="203">
        <f ca="1">IFERROR(__xludf.DUMMYFUNCTION("IMPORTRANGE(""https://docs.google.com/spreadsheets/d/11923uPwbBZFjjGgGUA6NLw09EwE0CqkOc4q9oUmW1yo/edit?usp=sharing"",""ตาก!J26"")"),0)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IFERROR(__xludf.DUMMYFUNCTION("IMPORTRANGE(""https://docs.google.com/spreadsheets/d/11923uPwbBZFjjGgGUA6NLw09EwE0CqkOc4q9oUmW1yo/edit?usp=sharing"",""ตาก!I27"")"),0)</f>
        <v>0</v>
      </c>
      <c r="J87" s="203">
        <f ca="1">IFERROR(__xludf.DUMMYFUNCTION("IMPORTRANGE(""https://docs.google.com/spreadsheets/d/11923uPwbBZFjjGgGUA6NLw09EwE0CqkOc4q9oUmW1yo/edit?usp=sharing"",""ตาก!J27"")"),0)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IFERROR(__xludf.DUMMYFUNCTION("IMPORTRANGE(""https://docs.google.com/spreadsheets/d/11923uPwbBZFjjGgGUA6NLw09EwE0CqkOc4q9oUmW1yo/edit?usp=sharing"",""ตาก!I28"")"),0)</f>
        <v>0</v>
      </c>
      <c r="J88" s="203">
        <f ca="1">IFERROR(__xludf.DUMMYFUNCTION("IMPORTRANGE(""https://docs.google.com/spreadsheets/d/11923uPwbBZFjjGgGUA6NLw09EwE0CqkOc4q9oUmW1yo/edit?usp=sharing"",""ตาก!J28"")"),0)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IFERROR(__xludf.DUMMYFUNCTION("IMPORTRANGE(""https://docs.google.com/spreadsheets/d/11923uPwbBZFjjGgGUA6NLw09EwE0CqkOc4q9oUmW1yo/edit?usp=sharing"",""ตาก!J29"")"),0)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IFERROR(__xludf.DUMMYFUNCTION("IMPORTRANGE(""https://docs.google.com/spreadsheets/d/11923uPwbBZFjjGgGUA6NLw09EwE0CqkOc4q9oUmW1yo/edit?usp=sharing"",""ตาก!J30"")"),0)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IFERROR(__xludf.DUMMYFUNCTION("IMPORTRANGE(""https://docs.google.com/spreadsheets/d/11923uPwbBZFjjGgGUA6NLw09EwE0CqkOc4q9oUmW1yo/edit?usp=sharing"",""ตาก!I32"")"),4)</f>
        <v>4</v>
      </c>
      <c r="J92" s="142">
        <f ca="1">IFERROR(__xludf.DUMMYFUNCTION("IMPORTRANGE(""https://docs.google.com/spreadsheets/d/11923uPwbBZFjjGgGUA6NLw09EwE0CqkOc4q9oUmW1yo/edit?usp=sharing"",""ตาก!J32"")"),4)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IFERROR(__xludf.DUMMYFUNCTION("IMPORTRANGE(""https://docs.google.com/spreadsheets/d/11923uPwbBZFjjGgGUA6NLw09EwE0CqkOc4q9oUmW1yo/edit?usp=sharing"",""ตาก!I33"")"),1)</f>
        <v>1</v>
      </c>
      <c r="J93" s="142">
        <f ca="1">IFERROR(__xludf.DUMMYFUNCTION("IMPORTRANGE(""https://docs.google.com/spreadsheets/d/11923uPwbBZFjjGgGUA6NLw09EwE0CqkOc4q9oUmW1yo/edit?usp=sharing"",""ตาก!J33"")"),1)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250250</v>
      </c>
      <c r="N94" s="152">
        <f t="shared" ca="1" si="52"/>
        <v>206828</v>
      </c>
      <c r="O94" s="151">
        <f t="shared" ref="O94:O96" ca="1" si="53">IF(L94&gt;0,N94*100/L94,0)</f>
        <v>96.423310023310023</v>
      </c>
      <c r="P94" s="151">
        <f t="shared" ref="P94:P96" ca="1" si="54">IF(M94&gt;0,N94*100/M94,0)</f>
        <v>82.648551448551444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250250</v>
      </c>
      <c r="N96" s="88">
        <f t="shared" ca="1" si="56"/>
        <v>206828</v>
      </c>
      <c r="O96" s="156">
        <f t="shared" ca="1" si="53"/>
        <v>96.423310023310023</v>
      </c>
      <c r="P96" s="156">
        <f t="shared" ca="1" si="54"/>
        <v>82.648551448551444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IFERROR(__xludf.DUMMYFUNCTION("IMPORTRANGE(""https://docs.google.com/spreadsheets/d/1Yj_ptqi66GCucihVvJfMjLAmec39IyEx_6qawtMGysU/edit?usp=sharing"",""สบก!AR23"")"),157850)</f>
        <v>157850</v>
      </c>
      <c r="N98" s="168">
        <f ca="1">IFERROR(__xludf.DUMMYFUNCTION("IMPORTRANGE(""https://docs.google.com/spreadsheets/d/1Yj_ptqi66GCucihVvJfMjLAmec39IyEx_6qawtMGysU/edit?usp=sharing"",""สบก!AS23"")"),114428)</f>
        <v>114428</v>
      </c>
      <c r="O98" s="168">
        <f ca="1">IF(L98&gt;0,N98*100/L98,0)</f>
        <v>93.716625716625714</v>
      </c>
      <c r="P98" s="168">
        <f ca="1">IF(M98&gt;0,N98*100/M98,0)</f>
        <v>72.491605955020589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IFERROR(__xludf.DUMMYFUNCTION("IMPORTRANGE(""https://docs.google.com/spreadsheets/d/1Yj_ptqi66GCucihVvJfMjLAmec39IyEx_6qawtMGysU/edit?usp=sharing"",""สบก!AN23"")"),0)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IFERROR(__xludf.DUMMYFUNCTION("IMPORTRANGE(""https://docs.google.com/spreadsheets/d/1Yj_ptqi66GCucihVvJfMjLAmec39IyEx_6qawtMGysU/edit?usp=sharing"",""สบก!AO23"")"),122100)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IFERROR(__xludf.DUMMYFUNCTION("IMPORTRANGE(""https://docs.google.com/spreadsheets/d/1Yj_ptqi66GCucihVvJfMjLAmec39IyEx_6qawtMGysU/edit?usp=sharing"",""สบก!AP23"")"),92400)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IFERROR(__xludf.DUMMYFUNCTION("IMPORTRANGE(""https://docs.google.com/spreadsheets/d/1Yj_ptqi66GCucihVvJfMjLAmec39IyEx_6qawtMGysU/edit?usp=sharing"",""สบก!AT23"")"),92400)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IFERROR(__xludf.DUMMYFUNCTION("IMPORTRANGE(""https://docs.google.com/spreadsheets/d/11923uPwbBZFjjGgGUA6NLw09EwE0CqkOc4q9oUmW1yo/edit?usp=sharing"",""ตาก!J39"")"),0)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IFERROR(__xludf.DUMMYFUNCTION("IMPORTRANGE(""https://docs.google.com/spreadsheets/d/11923uPwbBZFjjGgGUA6NLw09EwE0CqkOc4q9oUmW1yo/edit?usp=sharing"",""ตาก!J40"")"),1)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IFERROR(__xludf.DUMMYFUNCTION("IMPORTRANGE(""https://docs.google.com/spreadsheets/d/11923uPwbBZFjjGgGUA6NLw09EwE0CqkOc4q9oUmW1yo/edit?usp=sharing"",""ตาก!J41"")"),1)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IFERROR(__xludf.DUMMYFUNCTION("IMPORTRANGE(""https://docs.google.com/spreadsheets/d/11923uPwbBZFjjGgGUA6NLw09EwE0CqkOc4q9oUmW1yo/edit?usp=sharing"",""ตาก!J42"")"),1)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IFERROR(__xludf.DUMMYFUNCTION("IMPORTRANGE(""https://docs.google.com/spreadsheets/d/11923uPwbBZFjjGgGUA6NLw09EwE0CqkOc4q9oUmW1yo/edit?usp=sharing"",""ตาก!I43"")"),1)</f>
        <v>1</v>
      </c>
      <c r="J108" s="203">
        <f ca="1">IFERROR(__xludf.DUMMYFUNCTION("IMPORTRANGE(""https://docs.google.com/spreadsheets/d/11923uPwbBZFjjGgGUA6NLw09EwE0CqkOc4q9oUmW1yo/edit?usp=sharing"",""ตาก!J43"")"),1)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IFERROR(__xludf.DUMMYFUNCTION("IMPORTRANGE(""https://docs.google.com/spreadsheets/d/11923uPwbBZFjjGgGUA6NLw09EwE0CqkOc4q9oUmW1yo/edit?usp=sharing"",""ตาก!I44"")"),4)</f>
        <v>4</v>
      </c>
      <c r="J109" s="203">
        <f ca="1">IFERROR(__xludf.DUMMYFUNCTION("IMPORTRANGE(""https://docs.google.com/spreadsheets/d/11923uPwbBZFjjGgGUA6NLw09EwE0CqkOc4q9oUmW1yo/edit?usp=sharing"",""ตาก!J44"")"),4)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IFERROR(__xludf.DUMMYFUNCTION("IMPORTRANGE(""https://docs.google.com/spreadsheets/d/11923uPwbBZFjjGgGUA6NLw09EwE0CqkOc4q9oUmW1yo/edit?usp=sharing"",""ตาก!I45"")"),4)</f>
        <v>4</v>
      </c>
      <c r="J110" s="203">
        <f ca="1">IFERROR(__xludf.DUMMYFUNCTION("IMPORTRANGE(""https://docs.google.com/spreadsheets/d/11923uPwbBZFjjGgGUA6NLw09EwE0CqkOc4q9oUmW1yo/edit?usp=sharing"",""ตาก!J45"")"),4)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IFERROR(__xludf.DUMMYFUNCTION("IMPORTRANGE(""https://docs.google.com/spreadsheets/d/11923uPwbBZFjjGgGUA6NLw09EwE0CqkOc4q9oUmW1yo/edit?usp=sharing"",""ตาก!I46"")"),4)</f>
        <v>4</v>
      </c>
      <c r="J111" s="203">
        <f ca="1">IFERROR(__xludf.DUMMYFUNCTION("IMPORTRANGE(""https://docs.google.com/spreadsheets/d/11923uPwbBZFjjGgGUA6NLw09EwE0CqkOc4q9oUmW1yo/edit?usp=sharing"",""ตาก!J46"")"),4)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IFERROR(__xludf.DUMMYFUNCTION("IMPORTRANGE(""https://docs.google.com/spreadsheets/d/11923uPwbBZFjjGgGUA6NLw09EwE0CqkOc4q9oUmW1yo/edit?usp=sharing"",""ตาก!I47"")"),4)</f>
        <v>4</v>
      </c>
      <c r="J112" s="203">
        <f ca="1">IFERROR(__xludf.DUMMYFUNCTION("IMPORTRANGE(""https://docs.google.com/spreadsheets/d/11923uPwbBZFjjGgGUA6NLw09EwE0CqkOc4q9oUmW1yo/edit?usp=sharing"",""ตาก!J47"")"),4)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IFERROR(__xludf.DUMMYFUNCTION("IMPORTRANGE(""https://docs.google.com/spreadsheets/d/11923uPwbBZFjjGgGUA6NLw09EwE0CqkOc4q9oUmW1yo/edit?usp=sharing"",""ตาก!I48"")"),1)</f>
        <v>1</v>
      </c>
      <c r="J113" s="203">
        <f ca="1">IFERROR(__xludf.DUMMYFUNCTION("IMPORTRANGE(""https://docs.google.com/spreadsheets/d/11923uPwbBZFjjGgGUA6NLw09EwE0CqkOc4q9oUmW1yo/edit?usp=sharing"",""ตาก!J48"")"),1)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IFERROR(__xludf.DUMMYFUNCTION("IMPORTRANGE(""https://docs.google.com/spreadsheets/d/11923uPwbBZFjjGgGUA6NLw09EwE0CqkOc4q9oUmW1yo/edit?usp=sharing"",""ตาก!J49"")"),0)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IFERROR(__xludf.DUMMYFUNCTION("IMPORTRANGE(""https://docs.google.com/spreadsheets/d/11923uPwbBZFjjGgGUA6NLw09EwE0CqkOc4q9oUmW1yo/edit?usp=sharing"",""ตาก!J50"")"),0)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IFERROR(__xludf.DUMMYFUNCTION("IMPORTRANGE(""https://docs.google.com/spreadsheets/d/11923uPwbBZFjjGgGUA6NLw09EwE0CqkOc4q9oUmW1yo/edit?usp=sharing"",""ตาก!I52"")"),20)</f>
        <v>20</v>
      </c>
      <c r="J117" s="142">
        <f ca="1">IFERROR(__xludf.DUMMYFUNCTION("IMPORTRANGE(""https://docs.google.com/spreadsheets/d/11923uPwbBZFjjGgGUA6NLw09EwE0CqkOc4q9oUmW1yo/edit?usp=sharing"",""ตาก!J52"")"),20)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90406</v>
      </c>
      <c r="N118" s="152">
        <f t="shared" ca="1" si="58"/>
        <v>76125</v>
      </c>
      <c r="O118" s="151">
        <f t="shared" ref="O118:O120" ca="1" si="59">IF(L118&gt;0,N118*100/L118,0)</f>
        <v>92.33988355167395</v>
      </c>
      <c r="P118" s="151">
        <f t="shared" ref="P118:P120" ca="1" si="60">IF(M118&gt;0,N118*100/M118,0)</f>
        <v>84.203482069774125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90406</v>
      </c>
      <c r="N120" s="88">
        <f t="shared" ca="1" si="62"/>
        <v>76125</v>
      </c>
      <c r="O120" s="156">
        <f t="shared" ca="1" si="59"/>
        <v>92.33988355167395</v>
      </c>
      <c r="P120" s="156">
        <f t="shared" ca="1" si="60"/>
        <v>84.203482069774125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IFERROR(__xludf.DUMMYFUNCTION("IMPORTRANGE(""https://docs.google.com/spreadsheets/d/1Yj_ptqi66GCucihVvJfMjLAmec39IyEx_6qawtMGysU/edit?usp=sharing"",""สบก!BA23"")"),90406)</f>
        <v>90406</v>
      </c>
      <c r="N122" s="168">
        <f ca="1">IFERROR(__xludf.DUMMYFUNCTION("IMPORTRANGE(""https://docs.google.com/spreadsheets/d/1Yj_ptqi66GCucihVvJfMjLAmec39IyEx_6qawtMGysU/edit?usp=sharing"",""สบก!BB23"")"),76125)</f>
        <v>76125</v>
      </c>
      <c r="O122" s="168">
        <f ca="1">IF(L122&gt;0,N122*100/L122,0)</f>
        <v>92.33988355167395</v>
      </c>
      <c r="P122" s="168">
        <f ca="1">IF(M122&gt;0,N122*100/M122,0)</f>
        <v>84.203482069774125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IFERROR(__xludf.DUMMYFUNCTION("IMPORTRANGE(""https://docs.google.com/spreadsheets/d/1Yj_ptqi66GCucihVvJfMjLAmec39IyEx_6qawtMGysU/edit?usp=sharing"",""สบก!AW23"")"),0)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IFERROR(__xludf.DUMMYFUNCTION("IMPORTRANGE(""https://docs.google.com/spreadsheets/d/1Yj_ptqi66GCucihVvJfMjLAmec39IyEx_6qawtMGysU/edit?usp=sharing"",""สบก!AX23"")"),82440)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IFERROR(__xludf.DUMMYFUNCTION("IMPORTRANGE(""https://docs.google.com/spreadsheets/d/1Yj_ptqi66GCucihVvJfMjLAmec39IyEx_6qawtMGysU/edit?usp=sharing"",""สบก!AY23"")"),0)</f>
        <v>0</v>
      </c>
      <c r="M126" s="50"/>
      <c r="N126" s="50">
        <f ca="1">IFERROR(__xludf.DUMMYFUNCTION("IMPORTRANGE(""https://docs.google.com/spreadsheets/d/1Yj_ptqi66GCucihVvJfMjLAmec39IyEx_6qawtMGysU/edit?usp=sharing"",""สบก!BC23"")"),0)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IFERROR(__xludf.DUMMYFUNCTION("IMPORTRANGE(""https://docs.google.com/spreadsheets/d/11923uPwbBZFjjGgGUA6NLw09EwE0CqkOc4q9oUmW1yo/edit?usp=sharing"",""ตาก!J58"")"),0)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IFERROR(__xludf.DUMMYFUNCTION("IMPORTRANGE(""https://docs.google.com/spreadsheets/d/11923uPwbBZFjjGgGUA6NLw09EwE0CqkOc4q9oUmW1yo/edit?usp=sharing"",""ตาก!J59"")"),1)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IFERROR(__xludf.DUMMYFUNCTION("IMPORTRANGE(""https://docs.google.com/spreadsheets/d/11923uPwbBZFjjGgGUA6NLw09EwE0CqkOc4q9oUmW1yo/edit?usp=sharing"",""ตาก!J60"")"),1)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IFERROR(__xludf.DUMMYFUNCTION("IMPORTRANGE(""https://docs.google.com/spreadsheets/d/11923uPwbBZFjjGgGUA6NLw09EwE0CqkOc4q9oUmW1yo/edit?usp=sharing"",""ตาก!J61"")"),1)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IFERROR(__xludf.DUMMYFUNCTION("IMPORTRANGE(""https://docs.google.com/spreadsheets/d/11923uPwbBZFjjGgGUA6NLw09EwE0CqkOc4q9oUmW1yo/edit?usp=sharing"",""ตาก!I62"")"),20)</f>
        <v>20</v>
      </c>
      <c r="J132" s="203">
        <f ca="1">IFERROR(__xludf.DUMMYFUNCTION("IMPORTRANGE(""https://docs.google.com/spreadsheets/d/11923uPwbBZFjjGgGUA6NLw09EwE0CqkOc4q9oUmW1yo/edit?usp=sharing"",""ตาก!J62"")"),20)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IFERROR(__xludf.DUMMYFUNCTION("IMPORTRANGE(""https://docs.google.com/spreadsheets/d/11923uPwbBZFjjGgGUA6NLw09EwE0CqkOc4q9oUmW1yo/edit?usp=sharing"",""ตาก!I63"")"),20)</f>
        <v>20</v>
      </c>
      <c r="J133" s="203">
        <f ca="1">IFERROR(__xludf.DUMMYFUNCTION("IMPORTRANGE(""https://docs.google.com/spreadsheets/d/11923uPwbBZFjjGgGUA6NLw09EwE0CqkOc4q9oUmW1yo/edit?usp=sharing"",""ตาก!J63"")"),20)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IFERROR(__xludf.DUMMYFUNCTION("IMPORTRANGE(""https://docs.google.com/spreadsheets/d/11923uPwbBZFjjGgGUA6NLw09EwE0CqkOc4q9oUmW1yo/edit?usp=sharing"",""ตาก!J64"")"),0)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IFERROR(__xludf.DUMMYFUNCTION("IMPORTRANGE(""https://docs.google.com/spreadsheets/d/11923uPwbBZFjjGgGUA6NLw09EwE0CqkOc4q9oUmW1yo/edit?usp=sharing"",""ตาก!J65"")"),0)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IFERROR(__xludf.DUMMYFUNCTION("IMPORTRANGE(""https://docs.google.com/spreadsheets/d/11923uPwbBZFjjGgGUA6NLw09EwE0CqkOc4q9oUmW1yo/edit?usp=sharing"",""ตาก!I68"")"),0)</f>
        <v>0</v>
      </c>
      <c r="J138" s="267">
        <f ca="1">IFERROR(__xludf.DUMMYFUNCTION("IMPORTRANGE(""https://docs.google.com/spreadsheets/d/11923uPwbBZFjjGgGUA6NLw09EwE0CqkOc4q9oUmW1yo/edit?usp=sharing"",""ตาก!J68"")"),0)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120100</v>
      </c>
      <c r="N140" s="152">
        <f t="shared" ca="1" si="64"/>
        <v>51730</v>
      </c>
      <c r="O140" s="151">
        <f t="shared" ref="O140:O142" ca="1" si="65">IF(L140&gt;0,N140*100/L140,0)</f>
        <v>74.971014492753625</v>
      </c>
      <c r="P140" s="151">
        <f t="shared" ref="P140:P142" ca="1" si="66">IF(M140&gt;0,N140*100/M140,0)</f>
        <v>43.072439633638638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120100</v>
      </c>
      <c r="N142" s="88">
        <f t="shared" ca="1" si="68"/>
        <v>51730</v>
      </c>
      <c r="O142" s="156">
        <f t="shared" ca="1" si="65"/>
        <v>74.971014492753625</v>
      </c>
      <c r="P142" s="156">
        <f t="shared" ca="1" si="66"/>
        <v>43.072439633638638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IFERROR(__xludf.DUMMYFUNCTION("IMPORTRANGE(""https://docs.google.com/spreadsheets/d/1Yj_ptqi66GCucihVvJfMjLAmec39IyEx_6qawtMGysU/edit?usp=sharing"",""สบก!BJ23"")"),120100)</f>
        <v>120100</v>
      </c>
      <c r="N144" s="168">
        <f ca="1">IFERROR(__xludf.DUMMYFUNCTION("IMPORTRANGE(""https://docs.google.com/spreadsheets/d/1Yj_ptqi66GCucihVvJfMjLAmec39IyEx_6qawtMGysU/edit?usp=sharing"",""สบก!BK23"")"),51730)</f>
        <v>51730</v>
      </c>
      <c r="O144" s="168">
        <f ca="1">IF(L144&gt;0,N144*100/L144,0)</f>
        <v>74.971014492753625</v>
      </c>
      <c r="P144" s="168">
        <f ca="1">IF(M144&gt;0,N144*100/M144,0)</f>
        <v>43.072439633638638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IFERROR(__xludf.DUMMYFUNCTION("IMPORTRANGE(""https://docs.google.com/spreadsheets/d/1Yj_ptqi66GCucihVvJfMjLAmec39IyEx_6qawtMGysU/edit?usp=sharing"",""สบก!BF23"")"),0)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IFERROR(__xludf.DUMMYFUNCTION("IMPORTRANGE(""https://docs.google.com/spreadsheets/d/1Yj_ptqi66GCucihVvJfMjLAmec39IyEx_6qawtMGysU/edit?usp=sharing"",""สบก!BG23"")"),69000)</f>
        <v>69000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IFERROR(__xludf.DUMMYFUNCTION("IMPORTRANGE(""https://docs.google.com/spreadsheets/d/1Yj_ptqi66GCucihVvJfMjLAmec39IyEx_6qawtMGysU/edit?usp=sharing"",""สบก!BH23"")"),0)</f>
        <v>0</v>
      </c>
      <c r="M148" s="50"/>
      <c r="N148" s="50">
        <f ca="1">IFERROR(__xludf.DUMMYFUNCTION("IMPORTRANGE(""https://docs.google.com/spreadsheets/d/1Yj_ptqi66GCucihVvJfMjLAmec39IyEx_6qawtMGysU/edit?usp=sharing"",""สบก!BL23"")"),0)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IFERROR(__xludf.DUMMYFUNCTION("IMPORTRANGE(""https://docs.google.com/spreadsheets/d/11923uPwbBZFjjGgGUA6NLw09EwE0CqkOc4q9oUmW1yo/edit?usp=sharing"",""ตาก!I74"")"),4)</f>
        <v>4</v>
      </c>
      <c r="J149" s="275">
        <f ca="1">IFERROR(__xludf.DUMMYFUNCTION("IMPORTRANGE(""https://docs.google.com/spreadsheets/d/11923uPwbBZFjjGgGUA6NLw09EwE0CqkOc4q9oUmW1yo/edit?usp=sharing"",""ตาก!J74"")"),2)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IFERROR(__xludf.DUMMYFUNCTION("IMPORTRANGE(""https://docs.google.com/spreadsheets/d/11923uPwbBZFjjGgGUA6NLw09EwE0CqkOc4q9oUmW1yo/edit?usp=sharing"",""ตาก!J79"")"),0)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IFERROR(__xludf.DUMMYFUNCTION("IMPORTRANGE(""https://docs.google.com/spreadsheets/d/11923uPwbBZFjjGgGUA6NLw09EwE0CqkOc4q9oUmW1yo/edit?usp=sharing"",""ตาก!J80"")"),1)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IFERROR(__xludf.DUMMYFUNCTION("IMPORTRANGE(""https://docs.google.com/spreadsheets/d/11923uPwbBZFjjGgGUA6NLw09EwE0CqkOc4q9oUmW1yo/edit?usp=sharing"",""ตาก!J81"")"),1)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IFERROR(__xludf.DUMMYFUNCTION("IMPORTRANGE(""https://docs.google.com/spreadsheets/d/11923uPwbBZFjjGgGUA6NLw09EwE0CqkOc4q9oUmW1yo/edit?usp=sharing"",""ตาก!J82"")"),1)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IFERROR(__xludf.DUMMYFUNCTION("IMPORTRANGE(""https://docs.google.com/spreadsheets/d/11923uPwbBZFjjGgGUA6NLw09EwE0CqkOc4q9oUmW1yo/edit?usp=sharing"",""ตาก!I83"")"),4)</f>
        <v>4</v>
      </c>
      <c r="J158" s="188">
        <f ca="1">IFERROR(__xludf.DUMMYFUNCTION("IMPORTRANGE(""https://docs.google.com/spreadsheets/d/11923uPwbBZFjjGgGUA6NLw09EwE0CqkOc4q9oUmW1yo/edit?usp=sharing"",""ตาก!J83"")"),2)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IFERROR(__xludf.DUMMYFUNCTION("IMPORTRANGE(""https://docs.google.com/spreadsheets/d/11923uPwbBZFjjGgGUA6NLw09EwE0CqkOc4q9oUmW1yo/edit?usp=sharing"",""ตาก!J84"")"),44)</f>
        <v>44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IFERROR(__xludf.DUMMYFUNCTION("IMPORTRANGE(""https://docs.google.com/spreadsheets/d/11923uPwbBZFjjGgGUA6NLw09EwE0CqkOc4q9oUmW1yo/edit?usp=sharing"",""ตาก!J85"")"),44)</f>
        <v>44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IFERROR(__xludf.DUMMYFUNCTION("IMPORTRANGE(""https://docs.google.com/spreadsheets/d/11923uPwbBZFjjGgGUA6NLw09EwE0CqkOc4q9oUmW1yo/edit?usp=sharing"",""ตาก!J86"")"),0)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IFERROR(__xludf.DUMMYFUNCTION("IMPORTRANGE(""https://docs.google.com/spreadsheets/d/11923uPwbBZFjjGgGUA6NLw09EwE0CqkOc4q9oUmW1yo/edit?usp=sharing"",""ตาก!J87"")"),0)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IFERROR(__xludf.DUMMYFUNCTION("IMPORTRANGE(""https://docs.google.com/spreadsheets/d/11923uPwbBZFjjGgGUA6NLw09EwE0CqkOc4q9oUmW1yo/edit?usp=sharing"",""ตาก!J88"")"),0)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IFERROR(__xludf.DUMMYFUNCTION("IMPORTRANGE(""https://docs.google.com/spreadsheets/d/11923uPwbBZFjjGgGUA6NLw09EwE0CqkOc4q9oUmW1yo/edit?usp=sharing"",""ตาก!I89"")"),3)</f>
        <v>3</v>
      </c>
      <c r="J164" s="284">
        <f ca="1">IFERROR(__xludf.DUMMYFUNCTION("IMPORTRANGE(""https://docs.google.com/spreadsheets/d/11923uPwbBZFjjGgGUA6NLw09EwE0CqkOc4q9oUmW1yo/edit?usp=sharing"",""ตาก!J89"")"),3)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IFERROR(__xludf.DUMMYFUNCTION("IMPORTRANGE(""https://docs.google.com/spreadsheets/d/11923uPwbBZFjjGgGUA6NLw09EwE0CqkOc4q9oUmW1yo/edit?usp=sharing"",""ตาก!J94"")"),0)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IFERROR(__xludf.DUMMYFUNCTION("IMPORTRANGE(""https://docs.google.com/spreadsheets/d/11923uPwbBZFjjGgGUA6NLw09EwE0CqkOc4q9oUmW1yo/edit?usp=sharing"",""ตาก!J95"")"),1)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IFERROR(__xludf.DUMMYFUNCTION("IMPORTRANGE(""https://docs.google.com/spreadsheets/d/11923uPwbBZFjjGgGUA6NLw09EwE0CqkOc4q9oUmW1yo/edit?usp=sharing"",""ตาก!J96"")"),1)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IFERROR(__xludf.DUMMYFUNCTION("IMPORTRANGE(""https://docs.google.com/spreadsheets/d/11923uPwbBZFjjGgGUA6NLw09EwE0CqkOc4q9oUmW1yo/edit?usp=sharing"",""ตาก!J97"")"),1)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IFERROR(__xludf.DUMMYFUNCTION("IMPORTRANGE(""https://docs.google.com/spreadsheets/d/11923uPwbBZFjjGgGUA6NLw09EwE0CqkOc4q9oUmW1yo/edit?usp=sharing"",""ตาก!I98"")"),3)</f>
        <v>3</v>
      </c>
      <c r="J173" s="188">
        <f ca="1">IFERROR(__xludf.DUMMYFUNCTION("IMPORTRANGE(""https://docs.google.com/spreadsheets/d/11923uPwbBZFjjGgGUA6NLw09EwE0CqkOc4q9oUmW1yo/edit?usp=sharing"",""ตาก!J98"")"),3)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IFERROR(__xludf.DUMMYFUNCTION("IMPORTRANGE(""https://docs.google.com/spreadsheets/d/11923uPwbBZFjjGgGUA6NLw09EwE0CqkOc4q9oUmW1yo/edit?usp=sharing"",""ตาก!J99"")"),0)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IFERROR(__xludf.DUMMYFUNCTION("IMPORTRANGE(""https://docs.google.com/spreadsheets/d/11923uPwbBZFjjGgGUA6NLw09EwE0CqkOc4q9oUmW1yo/edit?usp=sharing"",""ตาก!J100"")"),0)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IFERROR(__xludf.DUMMYFUNCTION("IMPORTRANGE(""https://docs.google.com/spreadsheets/d/11923uPwbBZFjjGgGUA6NLw09EwE0CqkOc4q9oUmW1yo/edit?usp=sharing"",""ตาก!I101"")"),0)</f>
        <v>0</v>
      </c>
      <c r="J176" s="284">
        <f ca="1">IFERROR(__xludf.DUMMYFUNCTION("IMPORTRANGE(""https://docs.google.com/spreadsheets/d/11923uPwbBZFjjGgGUA6NLw09EwE0CqkOc4q9oUmW1yo/edit?usp=sharing"",""ตาก!J101"")"),0)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IFERROR(__xludf.DUMMYFUNCTION("IMPORTRANGE(""https://docs.google.com/spreadsheets/d/11923uPwbBZFjjGgGUA6NLw09EwE0CqkOc4q9oUmW1yo/edit?usp=sharing"",""ตาก!J106"")"),0)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IFERROR(__xludf.DUMMYFUNCTION("IMPORTRANGE(""https://docs.google.com/spreadsheets/d/11923uPwbBZFjjGgGUA6NLw09EwE0CqkOc4q9oUmW1yo/edit?usp=sharing"",""ตาก!J107"")"),0)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IFERROR(__xludf.DUMMYFUNCTION("IMPORTRANGE(""https://docs.google.com/spreadsheets/d/11923uPwbBZFjjGgGUA6NLw09EwE0CqkOc4q9oUmW1yo/edit?usp=sharing"",""ตาก!J108"")"),0)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IFERROR(__xludf.DUMMYFUNCTION("IMPORTRANGE(""https://docs.google.com/spreadsheets/d/11923uPwbBZFjjGgGUA6NLw09EwE0CqkOc4q9oUmW1yo/edit?usp=sharing"",""ตาก!J109"")"),0)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IFERROR(__xludf.DUMMYFUNCTION("IMPORTRANGE(""https://docs.google.com/spreadsheets/d/11923uPwbBZFjjGgGUA6NLw09EwE0CqkOc4q9oUmW1yo/edit?usp=sharing"",""ตาก!I110"")"),0)</f>
        <v>0</v>
      </c>
      <c r="J185" s="203">
        <f ca="1">IFERROR(__xludf.DUMMYFUNCTION("IMPORTRANGE(""https://docs.google.com/spreadsheets/d/11923uPwbBZFjjGgGUA6NLw09EwE0CqkOc4q9oUmW1yo/edit?usp=sharing"",""ตาก!J110"")"),0)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IFERROR(__xludf.DUMMYFUNCTION("IMPORTRANGE(""https://docs.google.com/spreadsheets/d/11923uPwbBZFjjGgGUA6NLw09EwE0CqkOc4q9oUmW1yo/edit?usp=sharing"",""ตาก!I111"")"),0)</f>
        <v>0</v>
      </c>
      <c r="J186" s="203">
        <f ca="1">IFERROR(__xludf.DUMMYFUNCTION("IMPORTRANGE(""https://docs.google.com/spreadsheets/d/11923uPwbBZFjjGgGUA6NLw09EwE0CqkOc4q9oUmW1yo/edit?usp=sharing"",""ตาก!J111"")"),0)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IFERROR(__xludf.DUMMYFUNCTION("IMPORTRANGE(""https://docs.google.com/spreadsheets/d/11923uPwbBZFjjGgGUA6NLw09EwE0CqkOc4q9oUmW1yo/edit?usp=sharing"",""ตาก!J112"")"),0)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IFERROR(__xludf.DUMMYFUNCTION("IMPORTRANGE(""https://docs.google.com/spreadsheets/d/11923uPwbBZFjjGgGUA6NLw09EwE0CqkOc4q9oUmW1yo/edit?usp=sharing"",""ตาก!J113"")"),0)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IFERROR(__xludf.DUMMYFUNCTION("IMPORTRANGE(""https://docs.google.com/spreadsheets/d/11923uPwbBZFjjGgGUA6NLw09EwE0CqkOc4q9oUmW1yo/edit?usp=sharing"",""ตาก!I114"")"),50000)</f>
        <v>50000</v>
      </c>
      <c r="J189" s="284">
        <f ca="1">IFERROR(__xludf.DUMMYFUNCTION("IMPORTRANGE(""https://docs.google.com/spreadsheets/d/11923uPwbBZFjjGgGUA6NLw09EwE0CqkOc4q9oUmW1yo/edit?usp=sharing"",""ตาก!J114"")"),0)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IFERROR(__xludf.DUMMYFUNCTION("IMPORTRANGE(""https://docs.google.com/spreadsheets/d/11923uPwbBZFjjGgGUA6NLw09EwE0CqkOc4q9oUmW1yo/edit?usp=sharing"",""ตาก!J119"")"),0)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IFERROR(__xludf.DUMMYFUNCTION("IMPORTRANGE(""https://docs.google.com/spreadsheets/d/11923uPwbBZFjjGgGUA6NLw09EwE0CqkOc4q9oUmW1yo/edit?usp=sharing"",""ตาก!J120"")"),1)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IFERROR(__xludf.DUMMYFUNCTION("IMPORTRANGE(""https://docs.google.com/spreadsheets/d/11923uPwbBZFjjGgGUA6NLw09EwE0CqkOc4q9oUmW1yo/edit?usp=sharing"",""ตาก!J121"")"),1)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IFERROR(__xludf.DUMMYFUNCTION("IMPORTRANGE(""https://docs.google.com/spreadsheets/d/11923uPwbBZFjjGgGUA6NLw09EwE0CqkOc4q9oUmW1yo/edit?usp=sharing"",""ตาก!J122"")"),1)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IFERROR(__xludf.DUMMYFUNCTION("IMPORTRANGE(""https://docs.google.com/spreadsheets/d/11923uPwbBZFjjGgGUA6NLw09EwE0CqkOc4q9oUmW1yo/edit?usp=sharing"",""ตาก!I124"")"),50000)</f>
        <v>50000</v>
      </c>
      <c r="J199" s="188">
        <f ca="1">IFERROR(__xludf.DUMMYFUNCTION("IMPORTRANGE(""https://docs.google.com/spreadsheets/d/11923uPwbBZFjjGgGUA6NLw09EwE0CqkOc4q9oUmW1yo/edit?usp=sharing"",""ตาก!J124"")"),50000)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IFERROR(__xludf.DUMMYFUNCTION("IMPORTRANGE(""https://docs.google.com/spreadsheets/d/11923uPwbBZFjjGgGUA6NLw09EwE0CqkOc4q9oUmW1yo/edit?usp=sharing"",""ตาก!I125"")"),50000)</f>
        <v>50000</v>
      </c>
      <c r="J200" s="188">
        <f ca="1">IFERROR(__xludf.DUMMYFUNCTION("IMPORTRANGE(""https://docs.google.com/spreadsheets/d/11923uPwbBZFjjGgGUA6NLw09EwE0CqkOc4q9oUmW1yo/edit?usp=sharing"",""ตาก!J125"")"),0)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IFERROR(__xludf.DUMMYFUNCTION("IMPORTRANGE(""https://docs.google.com/spreadsheets/d/11923uPwbBZFjjGgGUA6NLw09EwE0CqkOc4q9oUmW1yo/edit?usp=sharing"",""ตาก!I126"")"),0)</f>
        <v>0</v>
      </c>
      <c r="J201" s="188">
        <f ca="1">IFERROR(__xludf.DUMMYFUNCTION("IMPORTRANGE(""https://docs.google.com/spreadsheets/d/11923uPwbBZFjjGgGUA6NLw09EwE0CqkOc4q9oUmW1yo/edit?usp=sharing"",""ตาก!J126"")"),0)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IFERROR(__xludf.DUMMYFUNCTION("IMPORTRANGE(""https://docs.google.com/spreadsheets/d/11923uPwbBZFjjGgGUA6NLw09EwE0CqkOc4q9oUmW1yo/edit?usp=sharing"",""ตาก!J127"")"),0)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IFERROR(__xludf.DUMMYFUNCTION("IMPORTRANGE(""https://docs.google.com/spreadsheets/d/11923uPwbBZFjjGgGUA6NLw09EwE0CqkOc4q9oUmW1yo/edit?usp=sharing"",""ตาก!J128"")"),0)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IFERROR(__xludf.DUMMYFUNCTION("IMPORTRANGE(""https://docs.google.com/spreadsheets/d/11923uPwbBZFjjGgGUA6NLw09EwE0CqkOc4q9oUmW1yo/edit?usp=sharing"",""ตาก!I129"")"),0)</f>
        <v>0</v>
      </c>
      <c r="J204" s="284">
        <f ca="1">IFERROR(__xludf.DUMMYFUNCTION("IMPORTRANGE(""https://docs.google.com/spreadsheets/d/11923uPwbBZFjjGgGUA6NLw09EwE0CqkOc4q9oUmW1yo/edit?usp=sharing"",""ตาก!J129"")"),0)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IFERROR(__xludf.DUMMYFUNCTION("IMPORTRANGE(""https://docs.google.com/spreadsheets/d/11923uPwbBZFjjGgGUA6NLw09EwE0CqkOc4q9oUmW1yo/edit?usp=sharing"",""ตาก!J134"")"),0)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IFERROR(__xludf.DUMMYFUNCTION("IMPORTRANGE(""https://docs.google.com/spreadsheets/d/11923uPwbBZFjjGgGUA6NLw09EwE0CqkOc4q9oUmW1yo/edit?usp=sharing"",""ตาก!J135"")"),0)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IFERROR(__xludf.DUMMYFUNCTION("IMPORTRANGE(""https://docs.google.com/spreadsheets/d/11923uPwbBZFjjGgGUA6NLw09EwE0CqkOc4q9oUmW1yo/edit?usp=sharing"",""ตาก!J136"")"),0)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IFERROR(__xludf.DUMMYFUNCTION("IMPORTRANGE(""https://docs.google.com/spreadsheets/d/11923uPwbBZFjjGgGUA6NLw09EwE0CqkOc4q9oUmW1yo/edit?usp=sharing"",""ตาก!J137"")"),0)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IFERROR(__xludf.DUMMYFUNCTION("IMPORTRANGE(""https://docs.google.com/spreadsheets/d/11923uPwbBZFjjGgGUA6NLw09EwE0CqkOc4q9oUmW1yo/edit?usp=sharing"",""ตาก!I138"")"),0)</f>
        <v>0</v>
      </c>
      <c r="J213" s="203">
        <f ca="1">IFERROR(__xludf.DUMMYFUNCTION("IMPORTRANGE(""https://docs.google.com/spreadsheets/d/11923uPwbBZFjjGgGUA6NLw09EwE0CqkOc4q9oUmW1yo/edit?usp=sharing"",""ตาก!J138"")"),0)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IFERROR(__xludf.DUMMYFUNCTION("IMPORTRANGE(""https://docs.google.com/spreadsheets/d/11923uPwbBZFjjGgGUA6NLw09EwE0CqkOc4q9oUmW1yo/edit?usp=sharing"",""ตาก!I140"")"),0)</f>
        <v>0</v>
      </c>
      <c r="J215" s="203">
        <f ca="1">IFERROR(__xludf.DUMMYFUNCTION("IMPORTRANGE(""https://docs.google.com/spreadsheets/d/11923uPwbBZFjjGgGUA6NLw09EwE0CqkOc4q9oUmW1yo/edit?usp=sharing"",""ตาก!J140"")"),0)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IFERROR(__xludf.DUMMYFUNCTION("IMPORTRANGE(""https://docs.google.com/spreadsheets/d/11923uPwbBZFjjGgGUA6NLw09EwE0CqkOc4q9oUmW1yo/edit?usp=sharing"",""ตาก!I141"")"),0)</f>
        <v>0</v>
      </c>
      <c r="J216" s="203">
        <f ca="1">IFERROR(__xludf.DUMMYFUNCTION("IMPORTRANGE(""https://docs.google.com/spreadsheets/d/11923uPwbBZFjjGgGUA6NLw09EwE0CqkOc4q9oUmW1yo/edit?usp=sharing"",""ตาก!J141"")"),0)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IFERROR(__xludf.DUMMYFUNCTION("IMPORTRANGE(""https://docs.google.com/spreadsheets/d/11923uPwbBZFjjGgGUA6NLw09EwE0CqkOc4q9oUmW1yo/edit?usp=sharing"",""ตาก!J142"")"),0)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IFERROR(__xludf.DUMMYFUNCTION("IMPORTRANGE(""https://docs.google.com/spreadsheets/d/11923uPwbBZFjjGgGUA6NLw09EwE0CqkOc4q9oUmW1yo/edit?usp=sharing"",""ตาก!J143"")"),0)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IFERROR(__xludf.DUMMYFUNCTION("IMPORTRANGE(""https://docs.google.com/spreadsheets/d/11923uPwbBZFjjGgGUA6NLw09EwE0CqkOc4q9oUmW1yo/edit?usp=sharing"",""ตาก!I144"")"),14)</f>
        <v>14</v>
      </c>
      <c r="J219" s="267">
        <f ca="1">IFERROR(__xludf.DUMMYFUNCTION("IMPORTRANGE(""https://docs.google.com/spreadsheets/d/11923uPwbBZFjjGgGUA6NLw09EwE0CqkOc4q9oUmW1yo/edit?usp=sharing"",""ตาก!J144"")"),14)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IFERROR(__xludf.DUMMYFUNCTION("IMPORTRANGE(""https://docs.google.com/spreadsheets/d/1Yj_ptqi66GCucihVvJfMjLAmec39IyEx_6qawtMGysU/edit?usp=sharing"",""สบก!BS23"")"),20210)</f>
        <v>20210</v>
      </c>
      <c r="N224" s="168">
        <f ca="1">IFERROR(__xludf.DUMMYFUNCTION("IMPORTRANGE(""https://docs.google.com/spreadsheets/d/1Yj_ptqi66GCucihVvJfMjLAmec39IyEx_6qawtMGysU/edit?usp=sharing"",""สบก!BT23"")"),20210)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IFERROR(__xludf.DUMMYFUNCTION("IMPORTRANGE(""https://docs.google.com/spreadsheets/d/1Yj_ptqi66GCucihVvJfMjLAmec39IyEx_6qawtMGysU/edit?usp=sharing"",""สบก!BO23"")"),0)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IFERROR(__xludf.DUMMYFUNCTION("IMPORTRANGE(""https://docs.google.com/spreadsheets/d/1Yj_ptqi66GCucihVvJfMjLAmec39IyEx_6qawtMGysU/edit?usp=sharing"",""สบก!BP23"")"),20210)</f>
        <v>20210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IFERROR(__xludf.DUMMYFUNCTION("IMPORTRANGE(""https://docs.google.com/spreadsheets/d/1Yj_ptqi66GCucihVvJfMjLAmec39IyEx_6qawtMGysU/edit?usp=sharing"",""สบก!BQ23"")"),0)</f>
        <v>0</v>
      </c>
      <c r="M228" s="50"/>
      <c r="N228" s="50">
        <f ca="1">IFERROR(__xludf.DUMMYFUNCTION("IMPORTRANGE(""https://docs.google.com/spreadsheets/d/1Yj_ptqi66GCucihVvJfMjLAmec39IyEx_6qawtMGysU/edit?usp=sharing"",""สบก!BU23"")"),0)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IFERROR(__xludf.DUMMYFUNCTION("IMPORTRANGE(""https://docs.google.com/spreadsheets/d/11923uPwbBZFjjGgGUA6NLw09EwE0CqkOc4q9oUmW1yo/edit?usp=sharing"",""ตาก!I149"")"),14)</f>
        <v>14</v>
      </c>
      <c r="J229" s="267">
        <f ca="1">IFERROR(__xludf.DUMMYFUNCTION("IMPORTRANGE(""https://docs.google.com/spreadsheets/d/11923uPwbBZFjjGgGUA6NLw09EwE0CqkOc4q9oUmW1yo/edit?usp=sharing"",""ตาก!J149"")"),14)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IFERROR(__xludf.DUMMYFUNCTION("IMPORTRANGE(""https://docs.google.com/spreadsheets/d/11923uPwbBZFjjGgGUA6NLw09EwE0CqkOc4q9oUmW1yo/edit?usp=sharing"",""ตาก!J151"")"),0)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IFERROR(__xludf.DUMMYFUNCTION("IMPORTRANGE(""https://docs.google.com/spreadsheets/d/11923uPwbBZFjjGgGUA6NLw09EwE0CqkOc4q9oUmW1yo/edit?usp=sharing"",""ตาก!J152"")"),0)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IFERROR(__xludf.DUMMYFUNCTION("IMPORTRANGE(""https://docs.google.com/spreadsheets/d/11923uPwbBZFjjGgGUA6NLw09EwE0CqkOc4q9oUmW1yo/edit?usp=sharing"",""ตาก!J153"")"),1)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IFERROR(__xludf.DUMMYFUNCTION("IMPORTRANGE(""https://docs.google.com/spreadsheets/d/11923uPwbBZFjjGgGUA6NLw09EwE0CqkOc4q9oUmW1yo/edit?usp=sharing"",""ตาก!J154"")"),1)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IFERROR(__xludf.DUMMYFUNCTION("IMPORTRANGE(""https://docs.google.com/spreadsheets/d/11923uPwbBZFjjGgGUA6NLw09EwE0CqkOc4q9oUmW1yo/edit?usp=sharing"",""ตาก!I155"")"),14)</f>
        <v>14</v>
      </c>
      <c r="J235" s="188">
        <f ca="1">IFERROR(__xludf.DUMMYFUNCTION("IMPORTRANGE(""https://docs.google.com/spreadsheets/d/11923uPwbBZFjjGgGUA6NLw09EwE0CqkOc4q9oUmW1yo/edit?usp=sharing"",""ตาก!J155"")"),14)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IFERROR(__xludf.DUMMYFUNCTION("IMPORTRANGE(""https://docs.google.com/spreadsheets/d/11923uPwbBZFjjGgGUA6NLw09EwE0CqkOc4q9oUmW1yo/edit?usp=sharing"",""ตาก!J156"")"),1)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IFERROR(__xludf.DUMMYFUNCTION("IMPORTRANGE(""https://docs.google.com/spreadsheets/d/11923uPwbBZFjjGgGUA6NLw09EwE0CqkOc4q9oUmW1yo/edit?usp=sharing"",""ตาก!J157"")"),1)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IFERROR(__xludf.DUMMYFUNCTION("IMPORTRANGE(""https://docs.google.com/spreadsheets/d/11923uPwbBZFjjGgGUA6NLw09EwE0CqkOc4q9oUmW1yo/edit?usp=sharing"",""ตาก!I158"")"),0)</f>
        <v>0</v>
      </c>
      <c r="J238" s="267">
        <f ca="1">IFERROR(__xludf.DUMMYFUNCTION("IMPORTRANGE(""https://docs.google.com/spreadsheets/d/11923uPwbBZFjjGgGUA6NLw09EwE0CqkOc4q9oUmW1yo/edit?usp=sharing"",""ตาก!J158"")"),0)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IFERROR(__xludf.DUMMYFUNCTION("IMPORTRANGE(""https://docs.google.com/spreadsheets/d/11923uPwbBZFjjGgGUA6NLw09EwE0CqkOc4q9oUmW1yo/edit?usp=sharing"",""ตาก!J159"")"),"")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IFERROR(__xludf.DUMMYFUNCTION("IMPORTRANGE(""https://docs.google.com/spreadsheets/d/11923uPwbBZFjjGgGUA6NLw09EwE0CqkOc4q9oUmW1yo/edit?usp=sharing"",""ตาก!J161"")"),0)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IFERROR(__xludf.DUMMYFUNCTION("IMPORTRANGE(""https://docs.google.com/spreadsheets/d/11923uPwbBZFjjGgGUA6NLw09EwE0CqkOc4q9oUmW1yo/edit?usp=sharing"",""ตาก!J162"")"),0)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IFERROR(__xludf.DUMMYFUNCTION("IMPORTRANGE(""https://docs.google.com/spreadsheets/d/11923uPwbBZFjjGgGUA6NLw09EwE0CqkOc4q9oUmW1yo/edit?usp=sharing"",""ตาก!J163"")"),0)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IFERROR(__xludf.DUMMYFUNCTION("IMPORTRANGE(""https://docs.google.com/spreadsheets/d/11923uPwbBZFjjGgGUA6NLw09EwE0CqkOc4q9oUmW1yo/edit?usp=sharing"",""ตาก!I164"")"),0)</f>
        <v>0</v>
      </c>
      <c r="J244" s="187">
        <f ca="1">IFERROR(__xludf.DUMMYFUNCTION("IMPORTRANGE(""https://docs.google.com/spreadsheets/d/11923uPwbBZFjjGgGUA6NLw09EwE0CqkOc4q9oUmW1yo/edit?usp=sharing"",""ตาก!J164"")"),0)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IFERROR(__xludf.DUMMYFUNCTION("IMPORTRANGE(""https://docs.google.com/spreadsheets/d/11923uPwbBZFjjGgGUA6NLw09EwE0CqkOc4q9oUmW1yo/edit?usp=sharing"",""ตาก!J165"")"),0)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IFERROR(__xludf.DUMMYFUNCTION("IMPORTRANGE(""https://docs.google.com/spreadsheets/d/11923uPwbBZFjjGgGUA6NLw09EwE0CqkOc4q9oUmW1yo/edit?usp=sharing"",""ตาก!J166"")"),0)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IFERROR(__xludf.DUMMYFUNCTION("IMPORTRANGE(""https://docs.google.com/spreadsheets/d/11923uPwbBZFjjGgGUA6NLw09EwE0CqkOc4q9oUmW1yo/edit?usp=sharing"",""ตาก!I169"")"),0)</f>
        <v>0</v>
      </c>
      <c r="J249" s="316">
        <f ca="1">IFERROR(__xludf.DUMMYFUNCTION("IMPORTRANGE(""https://docs.google.com/spreadsheets/d/11923uPwbBZFjjGgGUA6NLw09EwE0CqkOc4q9oUmW1yo/edit?usp=sharing"",""ตาก!J169"")"),0)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IFERROR(__xludf.DUMMYFUNCTION("IMPORTRANGE(""https://docs.google.com/spreadsheets/d/1Yj_ptqi66GCucihVvJfMjLAmec39IyEx_6qawtMGysU/edit?usp=sharing"",""สบก!CB23"")"),0)</f>
        <v>0</v>
      </c>
      <c r="N254" s="168">
        <f ca="1">IFERROR(__xludf.DUMMYFUNCTION("IMPORTRANGE(""https://docs.google.com/spreadsheets/d/1Yj_ptqi66GCucihVvJfMjLAmec39IyEx_6qawtMGysU/edit?usp=sharing"",""สบก!CC23"")"),0)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IFERROR(__xludf.DUMMYFUNCTION("IMPORTRANGE(""https://docs.google.com/spreadsheets/d/1Yj_ptqi66GCucihVvJfMjLAmec39IyEx_6qawtMGysU/edit?usp=sharing"",""สบก!BX23"")"),0)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IFERROR(__xludf.DUMMYFUNCTION("IMPORTRANGE(""https://docs.google.com/spreadsheets/d/1Yj_ptqi66GCucihVvJfMjLAmec39IyEx_6qawtMGysU/edit?usp=sharing"",""สบก!BY23"")"),0)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IFERROR(__xludf.DUMMYFUNCTION("IMPORTRANGE(""https://docs.google.com/spreadsheets/d/1Yj_ptqi66GCucihVvJfMjLAmec39IyEx_6qawtMGysU/edit?usp=sharing"",""สบก!BZ23"")"),0)</f>
        <v>0</v>
      </c>
      <c r="M258" s="50"/>
      <c r="N258" s="50">
        <f ca="1">IFERROR(__xludf.DUMMYFUNCTION("IMPORTRANGE(""https://docs.google.com/spreadsheets/d/1Yj_ptqi66GCucihVvJfMjLAmec39IyEx_6qawtMGysU/edit?usp=sharing"",""สบก!CD23"")"),0)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IFERROR(__xludf.DUMMYFUNCTION("IMPORTRANGE(""https://docs.google.com/spreadsheets/d/11923uPwbBZFjjGgGUA6NLw09EwE0CqkOc4q9oUmW1yo/edit?usp=sharing"",""ตาก!J175"")"),0)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IFERROR(__xludf.DUMMYFUNCTION("IMPORTRANGE(""https://docs.google.com/spreadsheets/d/11923uPwbBZFjjGgGUA6NLw09EwE0CqkOc4q9oUmW1yo/edit?usp=sharing"",""ตาก!J176"")"),0)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IFERROR(__xludf.DUMMYFUNCTION("IMPORTRANGE(""https://docs.google.com/spreadsheets/d/11923uPwbBZFjjGgGUA6NLw09EwE0CqkOc4q9oUmW1yo/edit?usp=sharing"",""ตาก!J177"")"),0)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IFERROR(__xludf.DUMMYFUNCTION("IMPORTRANGE(""https://docs.google.com/spreadsheets/d/11923uPwbBZFjjGgGUA6NLw09EwE0CqkOc4q9oUmW1yo/edit?usp=sharing"",""ตาก!J178"")"),0)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IFERROR(__xludf.DUMMYFUNCTION("IMPORTRANGE(""https://docs.google.com/spreadsheets/d/11923uPwbBZFjjGgGUA6NLw09EwE0CqkOc4q9oUmW1yo/edit?usp=sharing"",""ตาก!I179"")"),0)</f>
        <v>0</v>
      </c>
      <c r="J264" s="188">
        <f ca="1">IFERROR(__xludf.DUMMYFUNCTION("IMPORTRANGE(""https://docs.google.com/spreadsheets/d/11923uPwbBZFjjGgGUA6NLw09EwE0CqkOc4q9oUmW1yo/edit?usp=sharing"",""ตาก!J179"")"),0)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IFERROR(__xludf.DUMMYFUNCTION("IMPORTRANGE(""https://docs.google.com/spreadsheets/d/11923uPwbBZFjjGgGUA6NLw09EwE0CqkOc4q9oUmW1yo/edit?usp=sharing"",""ตาก!I180"")"),0)</f>
        <v>0</v>
      </c>
      <c r="J265" s="188">
        <f ca="1">IFERROR(__xludf.DUMMYFUNCTION("IMPORTRANGE(""https://docs.google.com/spreadsheets/d/11923uPwbBZFjjGgGUA6NLw09EwE0CqkOc4q9oUmW1yo/edit?usp=sharing"",""ตาก!J180"")"),0)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IFERROR(__xludf.DUMMYFUNCTION("IMPORTRANGE(""https://docs.google.com/spreadsheets/d/11923uPwbBZFjjGgGUA6NLw09EwE0CqkOc4q9oUmW1yo/edit?usp=sharing"",""ตาก!I181"")"),0)</f>
        <v>0</v>
      </c>
      <c r="J266" s="188">
        <f ca="1">IFERROR(__xludf.DUMMYFUNCTION("IMPORTRANGE(""https://docs.google.com/spreadsheets/d/11923uPwbBZFjjGgGUA6NLw09EwE0CqkOc4q9oUmW1yo/edit?usp=sharing"",""ตาก!J181"")"),0)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IFERROR(__xludf.DUMMYFUNCTION("IMPORTRANGE(""https://docs.google.com/spreadsheets/d/11923uPwbBZFjjGgGUA6NLw09EwE0CqkOc4q9oUmW1yo/edit?usp=sharing"",""ตาก!I182"")"),0)</f>
        <v>0</v>
      </c>
      <c r="J267" s="188">
        <f ca="1">IFERROR(__xludf.DUMMYFUNCTION("IMPORTRANGE(""https://docs.google.com/spreadsheets/d/11923uPwbBZFjjGgGUA6NLw09EwE0CqkOc4q9oUmW1yo/edit?usp=sharing"",""ตาก!J182"")"),0)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IFERROR(__xludf.DUMMYFUNCTION("IMPORTRANGE(""https://docs.google.com/spreadsheets/d/11923uPwbBZFjjGgGUA6NLw09EwE0CqkOc4q9oUmW1yo/edit?usp=sharing"",""ตาก!J183"")"),0)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IFERROR(__xludf.DUMMYFUNCTION("IMPORTRANGE(""https://docs.google.com/spreadsheets/d/11923uPwbBZFjjGgGUA6NLw09EwE0CqkOc4q9oUmW1yo/edit?usp=sharing"",""ตาก!J184"")"),0)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IFERROR(__xludf.DUMMYFUNCTION("IMPORTRANGE(""https://docs.google.com/spreadsheets/d/11923uPwbBZFjjGgGUA6NLw09EwE0CqkOc4q9oUmW1yo/edit?usp=sharing"",""ตาก!I185"")"),20)</f>
        <v>20</v>
      </c>
      <c r="J270" s="316">
        <f ca="1">IFERROR(__xludf.DUMMYFUNCTION("IMPORTRANGE(""https://docs.google.com/spreadsheets/d/11923uPwbBZFjjGgGUA6NLw09EwE0CqkOc4q9oUmW1yo/edit?usp=sharing"",""ตาก!J185"")"),20)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337600</v>
      </c>
      <c r="M271" s="152">
        <f t="shared" ca="1" si="83"/>
        <v>337600</v>
      </c>
      <c r="N271" s="152">
        <f t="shared" ca="1" si="83"/>
        <v>231330</v>
      </c>
      <c r="O271" s="151">
        <f t="shared" ref="O271:O273" ca="1" si="84">IF(L271&gt;0,N271*100/L271,0)</f>
        <v>68.521919431279628</v>
      </c>
      <c r="P271" s="151">
        <f t="shared" ref="P271:P273" ca="1" si="85">IF(M271&gt;0,N271*100/M271,0)</f>
        <v>68.521919431279628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337600</v>
      </c>
      <c r="M273" s="88">
        <f t="shared" ca="1" si="87"/>
        <v>337600</v>
      </c>
      <c r="N273" s="88">
        <f t="shared" ca="1" si="87"/>
        <v>231330</v>
      </c>
      <c r="O273" s="156">
        <f t="shared" ca="1" si="84"/>
        <v>68.521919431279628</v>
      </c>
      <c r="P273" s="156">
        <f t="shared" ca="1" si="85"/>
        <v>68.521919431279628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337600</v>
      </c>
      <c r="M275" s="167">
        <f ca="1">IFERROR(__xludf.DUMMYFUNCTION("IMPORTRANGE(""https://docs.google.com/spreadsheets/d/1Yj_ptqi66GCucihVvJfMjLAmec39IyEx_6qawtMGysU/edit?usp=sharing"",""สบก!CK23"")"),337600)</f>
        <v>337600</v>
      </c>
      <c r="N275" s="168">
        <f ca="1">IFERROR(__xludf.DUMMYFUNCTION("IMPORTRANGE(""https://docs.google.com/spreadsheets/d/1Yj_ptqi66GCucihVvJfMjLAmec39IyEx_6qawtMGysU/edit?usp=sharing"",""สบก!CL23"")"),231330)</f>
        <v>231330</v>
      </c>
      <c r="O275" s="168">
        <f ca="1">IF(L275&gt;0,N275*100/L275,0)</f>
        <v>68.521919431279628</v>
      </c>
      <c r="P275" s="168">
        <f ca="1">IF(M275&gt;0,N275*100/M275,0)</f>
        <v>68.521919431279628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IFERROR(__xludf.DUMMYFUNCTION("IMPORTRANGE(""https://docs.google.com/spreadsheets/d/1Yj_ptqi66GCucihVvJfMjLAmec39IyEx_6qawtMGysU/edit?usp=sharing"",""สบก!CG23"")"),264000)</f>
        <v>264000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IFERROR(__xludf.DUMMYFUNCTION("IMPORTRANGE(""https://docs.google.com/spreadsheets/d/1Yj_ptqi66GCucihVvJfMjLAmec39IyEx_6qawtMGysU/edit?usp=sharing"",""สบก!CH23"")"),73600)</f>
        <v>73600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IFERROR(__xludf.DUMMYFUNCTION("IMPORTRANGE(""https://docs.google.com/spreadsheets/d/1Yj_ptqi66GCucihVvJfMjLAmec39IyEx_6qawtMGysU/edit?usp=sharing"",""สบก!CI23"")"),0)</f>
        <v>0</v>
      </c>
      <c r="M279" s="50"/>
      <c r="N279" s="50">
        <f ca="1">IFERROR(__xludf.DUMMYFUNCTION("IMPORTRANGE(""https://docs.google.com/spreadsheets/d/1Yj_ptqi66GCucihVvJfMjLAmec39IyEx_6qawtMGysU/edit?usp=sharing"",""สบก!CM23"")"),0)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IFERROR(__xludf.DUMMYFUNCTION("IMPORTRANGE(""https://docs.google.com/spreadsheets/d/11923uPwbBZFjjGgGUA6NLw09EwE0CqkOc4q9oUmW1yo/edit?usp=sharing"",""ตาก!J191"")"),0)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IFERROR(__xludf.DUMMYFUNCTION("IMPORTRANGE(""https://docs.google.com/spreadsheets/d/11923uPwbBZFjjGgGUA6NLw09EwE0CqkOc4q9oUmW1yo/edit?usp=sharing"",""ตาก!J192"")"),1)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IFERROR(__xludf.DUMMYFUNCTION("IMPORTRANGE(""https://docs.google.com/spreadsheets/d/11923uPwbBZFjjGgGUA6NLw09EwE0CqkOc4q9oUmW1yo/edit?usp=sharing"",""ตาก!J193"")"),1)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IFERROR(__xludf.DUMMYFUNCTION("IMPORTRANGE(""https://docs.google.com/spreadsheets/d/11923uPwbBZFjjGgGUA6NLw09EwE0CqkOc4q9oUmW1yo/edit?usp=sharing"",""ตาก!J194"")"),1)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IFERROR(__xludf.DUMMYFUNCTION("IMPORTRANGE(""https://docs.google.com/spreadsheets/d/11923uPwbBZFjjGgGUA6NLw09EwE0CqkOc4q9oUmW1yo/edit?usp=sharing"",""ตาก!I195"")"),20)</f>
        <v>20</v>
      </c>
      <c r="J285" s="188">
        <f ca="1">IFERROR(__xludf.DUMMYFUNCTION("IMPORTRANGE(""https://docs.google.com/spreadsheets/d/11923uPwbBZFjjGgGUA6NLw09EwE0CqkOc4q9oUmW1yo/edit?usp=sharing"",""ตาก!J195"")"),20)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IFERROR(__xludf.DUMMYFUNCTION("IMPORTRANGE(""https://docs.google.com/spreadsheets/d/11923uPwbBZFjjGgGUA6NLw09EwE0CqkOc4q9oUmW1yo/edit?usp=sharing"",""ตาก!J196"")"),0)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IFERROR(__xludf.DUMMYFUNCTION("IMPORTRANGE(""https://docs.google.com/spreadsheets/d/11923uPwbBZFjjGgGUA6NLw09EwE0CqkOc4q9oUmW1yo/edit?usp=sharing"",""ตาก!J197"")"),0)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IFERROR(__xludf.DUMMYFUNCTION("IMPORTRANGE(""https://docs.google.com/spreadsheets/d/11923uPwbBZFjjGgGUA6NLw09EwE0CqkOc4q9oUmW1yo/edit?usp=sharing"",""ตาก!I199"")"),0)</f>
        <v>0</v>
      </c>
      <c r="J289" s="316">
        <f ca="1">IFERROR(__xludf.DUMMYFUNCTION("IMPORTRANGE(""https://docs.google.com/spreadsheets/d/11923uPwbBZFjjGgGUA6NLw09EwE0CqkOc4q9oUmW1yo/edit?usp=sharing"",""ตาก!J199"")"),0)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IFERROR(__xludf.DUMMYFUNCTION("IMPORTRANGE(""https://docs.google.com/spreadsheets/d/1Yj_ptqi66GCucihVvJfMjLAmec39IyEx_6qawtMGysU/edit?usp=sharing"",""สบก!CT23"")"),0)</f>
        <v>0</v>
      </c>
      <c r="N294" s="168">
        <f ca="1">IFERROR(__xludf.DUMMYFUNCTION("IMPORTRANGE(""https://docs.google.com/spreadsheets/d/1Yj_ptqi66GCucihVvJfMjLAmec39IyEx_6qawtMGysU/edit?usp=sharing"",""สบก!CU23"")"),0)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IFERROR(__xludf.DUMMYFUNCTION("IMPORTRANGE(""https://docs.google.com/spreadsheets/d/1Yj_ptqi66GCucihVvJfMjLAmec39IyEx_6qawtMGysU/edit?usp=sharing"",""สบก!CP23"")"),0)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IFERROR(__xludf.DUMMYFUNCTION("IMPORTRANGE(""https://docs.google.com/spreadsheets/d/1Yj_ptqi66GCucihVvJfMjLAmec39IyEx_6qawtMGysU/edit?usp=sharing"",""สบก!CQ23"")"),0)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IFERROR(__xludf.DUMMYFUNCTION("IMPORTRANGE(""https://docs.google.com/spreadsheets/d/1Yj_ptqi66GCucihVvJfMjLAmec39IyEx_6qawtMGysU/edit?usp=sharing"",""สบก!CR23"")"),0)</f>
        <v>0</v>
      </c>
      <c r="M298" s="50"/>
      <c r="N298" s="50">
        <f ca="1">IFERROR(__xludf.DUMMYFUNCTION("IMPORTRANGE(""https://docs.google.com/spreadsheets/d/1Yj_ptqi66GCucihVvJfMjLAmec39IyEx_6qawtMGysU/edit?usp=sharing"",""สบก!CV23"")"),0)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IFERROR(__xludf.DUMMYFUNCTION("IMPORTRANGE(""https://docs.google.com/spreadsheets/d/11923uPwbBZFjjGgGUA6NLw09EwE0CqkOc4q9oUmW1yo/edit?usp=sharing"",""ตาก!J205"")"),0)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IFERROR(__xludf.DUMMYFUNCTION("IMPORTRANGE(""https://docs.google.com/spreadsheets/d/11923uPwbBZFjjGgGUA6NLw09EwE0CqkOc4q9oUmW1yo/edit?usp=sharing"",""ตาก!J206"")"),0)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IFERROR(__xludf.DUMMYFUNCTION("IMPORTRANGE(""https://docs.google.com/spreadsheets/d/11923uPwbBZFjjGgGUA6NLw09EwE0CqkOc4q9oUmW1yo/edit?usp=sharing"",""ตาก!J207"")"),0)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IFERROR(__xludf.DUMMYFUNCTION("IMPORTRANGE(""https://docs.google.com/spreadsheets/d/11923uPwbBZFjjGgGUA6NLw09EwE0CqkOc4q9oUmW1yo/edit?usp=sharing"",""ตาก!J208"")"),0)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IFERROR(__xludf.DUMMYFUNCTION("IMPORTRANGE(""https://docs.google.com/spreadsheets/d/11923uPwbBZFjjGgGUA6NLw09EwE0CqkOc4q9oUmW1yo/edit?usp=sharing"",""ตาก!I209"")"),0)</f>
        <v>0</v>
      </c>
      <c r="J304" s="203">
        <f ca="1">IFERROR(__xludf.DUMMYFUNCTION("IMPORTRANGE(""https://docs.google.com/spreadsheets/d/11923uPwbBZFjjGgGUA6NLw09EwE0CqkOc4q9oUmW1yo/edit?usp=sharing"",""ตาก!J209"")"),0)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IFERROR(__xludf.DUMMYFUNCTION("IMPORTRANGE(""https://docs.google.com/spreadsheets/d/11923uPwbBZFjjGgGUA6NLw09EwE0CqkOc4q9oUmW1yo/edit?usp=sharing"",""ตาก!I211"")"),0)</f>
        <v>0</v>
      </c>
      <c r="J306" s="203">
        <f ca="1">IFERROR(__xludf.DUMMYFUNCTION("IMPORTRANGE(""https://docs.google.com/spreadsheets/d/11923uPwbBZFjjGgGUA6NLw09EwE0CqkOc4q9oUmW1yo/edit?usp=sharing"",""ตาก!J211"")"),0)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IFERROR(__xludf.DUMMYFUNCTION("IMPORTRANGE(""https://docs.google.com/spreadsheets/d/11923uPwbBZFjjGgGUA6NLw09EwE0CqkOc4q9oUmW1yo/edit?usp=sharing"",""ตาก!J212"")"),0)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IFERROR(__xludf.DUMMYFUNCTION("IMPORTRANGE(""https://docs.google.com/spreadsheets/d/11923uPwbBZFjjGgGUA6NLw09EwE0CqkOc4q9oUmW1yo/edit?usp=sharing"",""ตาก!J213"")"),0)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IFERROR(__xludf.DUMMYFUNCTION("IMPORTRANGE(""https://docs.google.com/spreadsheets/d/11923uPwbBZFjjGgGUA6NLw09EwE0CqkOc4q9oUmW1yo/edit?usp=sharing"",""ตาก!I214"")"),0)</f>
        <v>0</v>
      </c>
      <c r="J309" s="333">
        <f ca="1">IFERROR(__xludf.DUMMYFUNCTION("IMPORTRANGE(""https://docs.google.com/spreadsheets/d/11923uPwbBZFjjGgGUA6NLw09EwE0CqkOc4q9oUmW1yo/edit?usp=sharing"",""ตาก!J214"")"),0)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IFERROR(__xludf.DUMMYFUNCTION("IMPORTRANGE(""https://docs.google.com/spreadsheets/d/1Yj_ptqi66GCucihVvJfMjLAmec39IyEx_6qawtMGysU/edit?usp=sharing"",""สบก!DC23"")"),0)</f>
        <v>0</v>
      </c>
      <c r="N314" s="168">
        <f ca="1">IFERROR(__xludf.DUMMYFUNCTION("IMPORTRANGE(""https://docs.google.com/spreadsheets/d/1Yj_ptqi66GCucihVvJfMjLAmec39IyEx_6qawtMGysU/edit?usp=sharing"",""สบก!DD23"")"),0)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IFERROR(__xludf.DUMMYFUNCTION("IMPORTRANGE(""https://docs.google.com/spreadsheets/d/1Yj_ptqi66GCucihVvJfMjLAmec39IyEx_6qawtMGysU/edit?usp=sharing"",""สบก!CY23"")"),0)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IFERROR(__xludf.DUMMYFUNCTION("IMPORTRANGE(""https://docs.google.com/spreadsheets/d/1Yj_ptqi66GCucihVvJfMjLAmec39IyEx_6qawtMGysU/edit?usp=sharing"",""สบก!CZ23"")"),0)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IFERROR(__xludf.DUMMYFUNCTION("IMPORTRANGE(""https://docs.google.com/spreadsheets/d/1Yj_ptqi66GCucihVvJfMjLAmec39IyEx_6qawtMGysU/edit?usp=sharing"",""สบก!DA23"")"),0)</f>
        <v>0</v>
      </c>
      <c r="M318" s="50"/>
      <c r="N318" s="50">
        <f ca="1">IFERROR(__xludf.DUMMYFUNCTION("IMPORTRANGE(""https://docs.google.com/spreadsheets/d/1Yj_ptqi66GCucihVvJfMjLAmec39IyEx_6qawtMGysU/edit?usp=sharing"",""สบก!DE23"")"),0)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IFERROR(__xludf.DUMMYFUNCTION("IMPORTRANGE(""https://docs.google.com/spreadsheets/d/11923uPwbBZFjjGgGUA6NLw09EwE0CqkOc4q9oUmW1yo/edit?usp=sharing"",""ตาก!J220"")"),0)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IFERROR(__xludf.DUMMYFUNCTION("IMPORTRANGE(""https://docs.google.com/spreadsheets/d/11923uPwbBZFjjGgGUA6NLw09EwE0CqkOc4q9oUmW1yo/edit?usp=sharing"",""ตาก!J221"")"),0)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IFERROR(__xludf.DUMMYFUNCTION("IMPORTRANGE(""https://docs.google.com/spreadsheets/d/11923uPwbBZFjjGgGUA6NLw09EwE0CqkOc4q9oUmW1yo/edit?usp=sharing"",""ตาก!J222"")"),0)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IFERROR(__xludf.DUMMYFUNCTION("IMPORTRANGE(""https://docs.google.com/spreadsheets/d/11923uPwbBZFjjGgGUA6NLw09EwE0CqkOc4q9oUmW1yo/edit?usp=sharing"",""ตาก!J223"")"),0)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IFERROR(__xludf.DUMMYFUNCTION("IMPORTRANGE(""https://docs.google.com/spreadsheets/d/11923uPwbBZFjjGgGUA6NLw09EwE0CqkOc4q9oUmW1yo/edit?usp=sharing"",""ตาก!I224"")"),0)</f>
        <v>0</v>
      </c>
      <c r="J324" s="203">
        <f ca="1">IFERROR(__xludf.DUMMYFUNCTION("IMPORTRANGE(""https://docs.google.com/spreadsheets/d/11923uPwbBZFjjGgGUA6NLw09EwE0CqkOc4q9oUmW1yo/edit?usp=sharing"",""ตาก!J224"")"),0)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IFERROR(__xludf.DUMMYFUNCTION("IMPORTRANGE(""https://docs.google.com/spreadsheets/d/11923uPwbBZFjjGgGUA6NLw09EwE0CqkOc4q9oUmW1yo/edit?usp=sharing"",""ตาก!J225"")"),0)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IFERROR(__xludf.DUMMYFUNCTION("IMPORTRANGE(""https://docs.google.com/spreadsheets/d/11923uPwbBZFjjGgGUA6NLw09EwE0CqkOc4q9oUmW1yo/edit?usp=sharing"",""ตาก!J226"")"),0)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IFERROR(__xludf.DUMMYFUNCTION("IMPORTRANGE(""https://docs.google.com/spreadsheets/d/11923uPwbBZFjjGgGUA6NLw09EwE0CqkOc4q9oUmW1yo/edit?usp=sharing"",""ตาก!I228"")"),330)</f>
        <v>330</v>
      </c>
      <c r="J328" s="339">
        <f ca="1">IFERROR(__xludf.DUMMYFUNCTION("IMPORTRANGE(""https://docs.google.com/spreadsheets/d/11923uPwbBZFjjGgGUA6NLw09EwE0CqkOc4q9oUmW1yo/edit?usp=sharing"",""ตาก!J228"")"),271)</f>
        <v>271</v>
      </c>
      <c r="K328" s="317">
        <f ca="1">IF(I328&gt;0,J328*100/I328,0)</f>
        <v>82.121212121212125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1089370</v>
      </c>
      <c r="M329" s="152">
        <f t="shared" ca="1" si="98"/>
        <v>1128470</v>
      </c>
      <c r="N329" s="152">
        <f t="shared" ca="1" si="98"/>
        <v>903357.86</v>
      </c>
      <c r="O329" s="151">
        <f t="shared" ref="O329:O331" ca="1" si="99">IF(L329&gt;0,N329*100/L329,0)</f>
        <v>82.924796900961113</v>
      </c>
      <c r="P329" s="151">
        <f t="shared" ref="P329:P331" ca="1" si="100">IF(M329&gt;0,N329*100/M329,0)</f>
        <v>80.051561849229486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1089370</v>
      </c>
      <c r="M331" s="88">
        <f t="shared" ca="1" si="102"/>
        <v>1128470</v>
      </c>
      <c r="N331" s="88">
        <f t="shared" ca="1" si="102"/>
        <v>903357.86</v>
      </c>
      <c r="O331" s="156">
        <f t="shared" ca="1" si="99"/>
        <v>82.924796900961113</v>
      </c>
      <c r="P331" s="156">
        <f t="shared" ca="1" si="100"/>
        <v>80.051561849229486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951150</v>
      </c>
      <c r="M333" s="167">
        <f ca="1">IFERROR(__xludf.DUMMYFUNCTION("IMPORTRANGE(""https://docs.google.com/spreadsheets/d/1Yj_ptqi66GCucihVvJfMjLAmec39IyEx_6qawtMGysU/edit?usp=sharing"",""สบก!DL23"")"),990250)</f>
        <v>990250</v>
      </c>
      <c r="N333" s="168">
        <f ca="1">IFERROR(__xludf.DUMMYFUNCTION("IMPORTRANGE(""https://docs.google.com/spreadsheets/d/1Yj_ptqi66GCucihVvJfMjLAmec39IyEx_6qawtMGysU/edit?usp=sharing"",""สบก!DM23"")"),765137.86)</f>
        <v>765137.86</v>
      </c>
      <c r="O333" s="168">
        <f ca="1">IF(L333&gt;0,N333*100/L333,0)</f>
        <v>80.443448457130842</v>
      </c>
      <c r="P333" s="168">
        <f ca="1">IF(M333&gt;0,N333*100/M333,0)</f>
        <v>77.26714062105529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IFERROR(__xludf.DUMMYFUNCTION("IMPORTRANGE(""https://docs.google.com/spreadsheets/d/1Yj_ptqi66GCucihVvJfMjLAmec39IyEx_6qawtMGysU/edit?usp=sharing"",""สบก!DH23"")"),496800)</f>
        <v>496800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IFERROR(__xludf.DUMMYFUNCTION("IMPORTRANGE(""https://docs.google.com/spreadsheets/d/1Yj_ptqi66GCucihVvJfMjLAmec39IyEx_6qawtMGysU/edit?usp=sharing"",""สบก!DI23"")"),454350)</f>
        <v>454350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IFERROR(__xludf.DUMMYFUNCTION("IMPORTRANGE(""https://docs.google.com/spreadsheets/d/1Yj_ptqi66GCucihVvJfMjLAmec39IyEx_6qawtMGysU/edit?usp=sharing"",""สบก!DJ23"")"),138220)</f>
        <v>138220</v>
      </c>
      <c r="M337" s="50">
        <f ca="1">L337</f>
        <v>138220</v>
      </c>
      <c r="N337" s="50">
        <f ca="1">IFERROR(__xludf.DUMMYFUNCTION("IMPORTRANGE(""https://docs.google.com/spreadsheets/d/1Yj_ptqi66GCucihVvJfMjLAmec39IyEx_6qawtMGysU/edit?usp=sharing"",""สบก!DN23"")"),138220)</f>
        <v>138220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IFERROR(__xludf.DUMMYFUNCTION("IMPORTRANGE(""https://docs.google.com/spreadsheets/d/11923uPwbBZFjjGgGUA6NLw09EwE0CqkOc4q9oUmW1yo/edit?usp=sharing"",""ตาก!I234"")"),0)</f>
        <v>0</v>
      </c>
      <c r="J339" s="187">
        <f ca="1">IFERROR(__xludf.DUMMYFUNCTION("IMPORTRANGE(""https://docs.google.com/spreadsheets/d/11923uPwbBZFjjGgGUA6NLw09EwE0CqkOc4q9oUmW1yo/edit?usp=sharing"",""ตาก!J234"")"),178)</f>
        <v>178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IFERROR(__xludf.DUMMYFUNCTION("IMPORTRANGE(""https://docs.google.com/spreadsheets/d/11923uPwbBZFjjGgGUA6NLw09EwE0CqkOc4q9oUmW1yo/edit?usp=sharing"",""ตาก!I235"")"),3000)</f>
        <v>3000</v>
      </c>
      <c r="J340" s="187">
        <f ca="1">IFERROR(__xludf.DUMMYFUNCTION("IMPORTRANGE(""https://docs.google.com/spreadsheets/d/11923uPwbBZFjjGgGUA6NLw09EwE0CqkOc4q9oUmW1yo/edit?usp=sharing"",""ตาก!J235"")"),1328.16)</f>
        <v>1328.16</v>
      </c>
      <c r="K340" s="342">
        <f t="shared" ca="1" si="103"/>
        <v>44.271999999999998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IFERROR(__xludf.DUMMYFUNCTION("IMPORTRANGE(""https://docs.google.com/spreadsheets/d/11923uPwbBZFjjGgGUA6NLw09EwE0CqkOc4q9oUmW1yo/edit?usp=sharing"",""ตาก!I236"")"),330)</f>
        <v>330</v>
      </c>
      <c r="J341" s="187">
        <f ca="1">IFERROR(__xludf.DUMMYFUNCTION("IMPORTRANGE(""https://docs.google.com/spreadsheets/d/11923uPwbBZFjjGgGUA6NLw09EwE0CqkOc4q9oUmW1yo/edit?usp=sharing"",""ตาก!J236"")"),337)</f>
        <v>337</v>
      </c>
      <c r="K341" s="342">
        <f t="shared" ca="1" si="103"/>
        <v>102.12121212121212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IFERROR(__xludf.DUMMYFUNCTION("IMPORTRANGE(""https://docs.google.com/spreadsheets/d/11923uPwbBZFjjGgGUA6NLw09EwE0CqkOc4q9oUmW1yo/edit?usp=sharing"",""ตาก!I237"")"),0)</f>
        <v>0</v>
      </c>
      <c r="J342" s="187">
        <f ca="1">IFERROR(__xludf.DUMMYFUNCTION("IMPORTRANGE(""https://docs.google.com/spreadsheets/d/11923uPwbBZFjjGgGUA6NLw09EwE0CqkOc4q9oUmW1yo/edit?usp=sharing"",""ตาก!J237"")"),4084.39999999999)</f>
        <v>4084.3999999999901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IFERROR(__xludf.DUMMYFUNCTION("IMPORTRANGE(""https://docs.google.com/spreadsheets/d/11923uPwbBZFjjGgGUA6NLw09EwE0CqkOc4q9oUmW1yo/edit?usp=sharing"",""ตาก!I238"")"),330)</f>
        <v>330</v>
      </c>
      <c r="J343" s="187">
        <f ca="1">IFERROR(__xludf.DUMMYFUNCTION("IMPORTRANGE(""https://docs.google.com/spreadsheets/d/11923uPwbBZFjjGgGUA6NLw09EwE0CqkOc4q9oUmW1yo/edit?usp=sharing"",""ตาก!J238"")"),0)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IFERROR(__xludf.DUMMYFUNCTION("IMPORTRANGE(""https://docs.google.com/spreadsheets/d/11923uPwbBZFjjGgGUA6NLw09EwE0CqkOc4q9oUmW1yo/edit?usp=sharing"",""ตาก!I239"")"),0)</f>
        <v>0</v>
      </c>
      <c r="J344" s="187">
        <f ca="1">IFERROR(__xludf.DUMMYFUNCTION("IMPORTRANGE(""https://docs.google.com/spreadsheets/d/11923uPwbBZFjjGgGUA6NLw09EwE0CqkOc4q9oUmW1yo/edit?usp=sharing"",""ตาก!J239"")"),0)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IFERROR(__xludf.DUMMYFUNCTION("IMPORTRANGE(""https://docs.google.com/spreadsheets/d/11923uPwbBZFjjGgGUA6NLw09EwE0CqkOc4q9oUmW1yo/edit?usp=sharing"",""ตาก!I240"")"),330)</f>
        <v>330</v>
      </c>
      <c r="J345" s="187">
        <f ca="1">IFERROR(__xludf.DUMMYFUNCTION("IMPORTRANGE(""https://docs.google.com/spreadsheets/d/11923uPwbBZFjjGgGUA6NLw09EwE0CqkOc4q9oUmW1yo/edit?usp=sharing"",""ตาก!J240"")"),271)</f>
        <v>271</v>
      </c>
      <c r="K345" s="342">
        <f t="shared" ca="1" si="103"/>
        <v>82.121212121212125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IFERROR(__xludf.DUMMYFUNCTION("IMPORTRANGE(""https://docs.google.com/spreadsheets/d/11923uPwbBZFjjGgGUA6NLw09EwE0CqkOc4q9oUmW1yo/edit?usp=sharing"",""ตาก!I241"")"),0)</f>
        <v>0</v>
      </c>
      <c r="J346" s="187">
        <f ca="1">IFERROR(__xludf.DUMMYFUNCTION("IMPORTRANGE(""https://docs.google.com/spreadsheets/d/11923uPwbBZFjjGgGUA6NLw09EwE0CqkOc4q9oUmW1yo/edit?usp=sharing"",""ตาก!J241"")"),3661.72)</f>
        <v>3661.72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IFERROR(__xludf.DUMMYFUNCTION("IMPORTRANGE(""https://docs.google.com/spreadsheets/d/11923uPwbBZFjjGgGUA6NLw09EwE0CqkOc4q9oUmW1yo/edit?usp=sharing"",""ตาก!L242"")"),1793228)</f>
        <v>1793228</v>
      </c>
      <c r="M347" s="357"/>
      <c r="N347" s="357">
        <f ca="1">IFERROR(__xludf.DUMMYFUNCTION("IMPORTRANGE(""https://docs.google.com/spreadsheets/d/11923uPwbBZFjjGgGUA6NLw09EwE0CqkOc4q9oUmW1yo/edit?usp=sharing"",""ตาก!M242"")"),1293259.5)</f>
        <v>1293259.5</v>
      </c>
      <c r="O347" s="357">
        <f ca="1">+IF(L347&gt;0,N347*100/L347,0)</f>
        <v>72.119077997889832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IFERROR(__xludf.DUMMYFUNCTION("IMPORTRANGE(""https://docs.google.com/spreadsheets/d/11923uPwbBZFjjGgGUA6NLw09EwE0CqkOc4q9oUmW1yo/edit?usp=sharing"",""ตาก!I244"")"),0)</f>
        <v>0</v>
      </c>
      <c r="J349" s="370">
        <f ca="1">IFERROR(__xludf.DUMMYFUNCTION("IMPORTRANGE(""https://docs.google.com/spreadsheets/d/11923uPwbBZFjjGgGUA6NLw09EwE0CqkOc4q9oUmW1yo/edit?usp=sharing"",""ตาก!J244"")"),0)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IFERROR(__xludf.DUMMYFUNCTION("IMPORTRANGE(""https://docs.google.com/spreadsheets/d/11923uPwbBZFjjGgGUA6NLw09EwE0CqkOc4q9oUmW1yo/edit?usp=sharing"",""ตาก!L244"")"),0)</f>
        <v>0</v>
      </c>
      <c r="M349" s="372"/>
      <c r="N349" s="372">
        <f ca="1">IFERROR(__xludf.DUMMYFUNCTION("IMPORTRANGE(""https://docs.google.com/spreadsheets/d/11923uPwbBZFjjGgGUA6NLw09EwE0CqkOc4q9oUmW1yo/edit?usp=sharing"",""ตาก!M244"")"),0)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IFERROR(__xludf.DUMMYFUNCTION("IMPORTRANGE(""https://docs.google.com/spreadsheets/d/11923uPwbBZFjjGgGUA6NLw09EwE0CqkOc4q9oUmW1yo/edit?usp=sharing"",""ตาก!I245"")"),0)</f>
        <v>0</v>
      </c>
      <c r="J350" s="370">
        <f ca="1">IFERROR(__xludf.DUMMYFUNCTION("IMPORTRANGE(""https://docs.google.com/spreadsheets/d/11923uPwbBZFjjGgGUA6NLw09EwE0CqkOc4q9oUmW1yo/edit?usp=sharing"",""ตาก!J245"")"),0)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IFERROR(__xludf.DUMMYFUNCTION("IMPORTRANGE(""https://docs.google.com/spreadsheets/d/11923uPwbBZFjjGgGUA6NLw09EwE0CqkOc4q9oUmW1yo/edit?usp=sharing"",""ตาก!L246"")"),0)</f>
        <v>0</v>
      </c>
      <c r="M351" s="164"/>
      <c r="N351" s="164">
        <f ca="1">IFERROR(__xludf.DUMMYFUNCTION("IMPORTRANGE(""https://docs.google.com/spreadsheets/d/11923uPwbBZFjjGgGUA6NLw09EwE0CqkOc4q9oUmW1yo/edit?usp=sharing"",""ตาก!M246"")"),0)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IFERROR(__xludf.DUMMYFUNCTION("IMPORTRANGE(""https://docs.google.com/spreadsheets/d/11923uPwbBZFjjGgGUA6NLw09EwE0CqkOc4q9oUmW1yo/edit?usp=sharing"",""ตาก!L247"")"),0)</f>
        <v>0</v>
      </c>
      <c r="M352" s="165"/>
      <c r="N352" s="164">
        <f ca="1">IFERROR(__xludf.DUMMYFUNCTION("IMPORTRANGE(""https://docs.google.com/spreadsheets/d/11923uPwbBZFjjGgGUA6NLw09EwE0CqkOc4q9oUmW1yo/edit?usp=sharing"",""ตาก!M247"")"),0)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IFERROR(__xludf.DUMMYFUNCTION("IMPORTRANGE(""https://docs.google.com/spreadsheets/d/11923uPwbBZFjjGgGUA6NLw09EwE0CqkOc4q9oUmW1yo/edit?usp=sharing"",""ตาก!L248"")"),0)</f>
        <v>0</v>
      </c>
      <c r="M353" s="168"/>
      <c r="N353" s="168">
        <f ca="1">IFERROR(__xludf.DUMMYFUNCTION("IMPORTRANGE(""https://docs.google.com/spreadsheets/d/11923uPwbBZFjjGgGUA6NLw09EwE0CqkOc4q9oUmW1yo/edit?usp=sharing"",""ตาก!M248"")"),0)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IFERROR(__xludf.DUMMYFUNCTION("IMPORTRANGE(""https://docs.google.com/spreadsheets/d/11923uPwbBZFjjGgGUA6NLw09EwE0CqkOc4q9oUmW1yo/edit?usp=sharing"",""ตาก!L249"")"),0)</f>
        <v>0</v>
      </c>
      <c r="M354" s="168"/>
      <c r="N354" s="167">
        <f ca="1">IFERROR(__xludf.DUMMYFUNCTION("IMPORTRANGE(""https://docs.google.com/spreadsheets/d/11923uPwbBZFjjGgGUA6NLw09EwE0CqkOc4q9oUmW1yo/edit?usp=sharing"",""ตาก!M249"")"),0)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IFERROR(__xludf.DUMMYFUNCTION("IMPORTRANGE(""https://docs.google.com/spreadsheets/d/11923uPwbBZFjjGgGUA6NLw09EwE0CqkOc4q9oUmW1yo/edit?usp=sharing"",""ตาก!M250"")"),0)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IFERROR(__xludf.DUMMYFUNCTION("IMPORTRANGE(""https://docs.google.com/spreadsheets/d/11923uPwbBZFjjGgGUA6NLw09EwE0CqkOc4q9oUmW1yo/edit?usp=sharing"",""ตาก!M251"")"),0)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IFERROR(__xludf.DUMMYFUNCTION("IMPORTRANGE(""https://docs.google.com/spreadsheets/d/11923uPwbBZFjjGgGUA6NLw09EwE0CqkOc4q9oUmW1yo/edit?usp=sharing"",""ตาก!M252"")"),0)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IFERROR(__xludf.DUMMYFUNCTION("IMPORTRANGE(""https://docs.google.com/spreadsheets/d/11923uPwbBZFjjGgGUA6NLw09EwE0CqkOc4q9oUmW1yo/edit?usp=sharing"",""ตาก!M253"")"),0)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IFERROR(__xludf.DUMMYFUNCTION("IMPORTRANGE(""https://docs.google.com/spreadsheets/d/11923uPwbBZFjjGgGUA6NLw09EwE0CqkOc4q9oUmW1yo/edit?usp=sharing"",""ตาก!J255"")"),0)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IFERROR(__xludf.DUMMYFUNCTION("IMPORTRANGE(""https://docs.google.com/spreadsheets/d/11923uPwbBZFjjGgGUA6NLw09EwE0CqkOc4q9oUmW1yo/edit?usp=sharing"",""ตาก!J256"")"),0)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IFERROR(__xludf.DUMMYFUNCTION("IMPORTRANGE(""https://docs.google.com/spreadsheets/d/11923uPwbBZFjjGgGUA6NLw09EwE0CqkOc4q9oUmW1yo/edit?usp=sharing"",""ตาก!J257"")"),0)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IFERROR(__xludf.DUMMYFUNCTION("IMPORTRANGE(""https://docs.google.com/spreadsheets/d/11923uPwbBZFjjGgGUA6NLw09EwE0CqkOc4q9oUmW1yo/edit?usp=sharing"",""ตาก!J258"")"),0)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IFERROR(__xludf.DUMMYFUNCTION("IMPORTRANGE(""https://docs.google.com/spreadsheets/d/11923uPwbBZFjjGgGUA6NLw09EwE0CqkOc4q9oUmW1yo/edit?usp=sharing"",""ตาก!J166"")"),0)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IFERROR(__xludf.DUMMYFUNCTION("IMPORTRANGE(""https://docs.google.com/spreadsheets/d/11923uPwbBZFjjGgGUA6NLw09EwE0CqkOc4q9oUmW1yo/edit?usp=sharing"",""ตาก!J166"")"),0)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IFERROR(__xludf.DUMMYFUNCTION("IMPORTRANGE(""https://docs.google.com/spreadsheets/d/11923uPwbBZFjjGgGUA6NLw09EwE0CqkOc4q9oUmW1yo/edit?usp=sharing"",""ตาก!J166"")"),0)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IFERROR(__xludf.DUMMYFUNCTION("IMPORTRANGE(""https://docs.google.com/spreadsheets/d/11923uPwbBZFjjGgGUA6NLw09EwE0CqkOc4q9oUmW1yo/edit?usp=sharing"",""ตาก!J166"")"),0)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IFERROR(__xludf.DUMMYFUNCTION("IMPORTRANGE(""https://docs.google.com/spreadsheets/d/11923uPwbBZFjjGgGUA6NLw09EwE0CqkOc4q9oUmW1yo/edit?usp=sharing"",""ตาก!I263"")"),0)</f>
        <v>0</v>
      </c>
      <c r="J368" s="187">
        <f ca="1">IFERROR(__xludf.DUMMYFUNCTION("IMPORTRANGE(""https://docs.google.com/spreadsheets/d/11923uPwbBZFjjGgGUA6NLw09EwE0CqkOc4q9oUmW1yo/edit?usp=sharing"",""ตาก!J263"")"),0)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IFERROR(__xludf.DUMMYFUNCTION("IMPORTRANGE(""https://docs.google.com/spreadsheets/d/11923uPwbBZFjjGgGUA6NLw09EwE0CqkOc4q9oUmW1yo/edit?usp=sharing"",""ตาก!I164"")"),0)</f>
        <v>0</v>
      </c>
      <c r="J369" s="203">
        <f ca="1">IFERROR(__xludf.DUMMYFUNCTION("IMPORTRANGE(""https://docs.google.com/spreadsheets/d/11923uPwbBZFjjGgGUA6NLw09EwE0CqkOc4q9oUmW1yo/edit?usp=sharing"",""ตาก!J164"")"),0)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IFERROR(__xludf.DUMMYFUNCTION("IMPORTRANGE(""https://docs.google.com/spreadsheets/d/11923uPwbBZFjjGgGUA6NLw09EwE0CqkOc4q9oUmW1yo/edit?usp=sharing"",""ตาก!I265"")"),0)</f>
        <v>0</v>
      </c>
      <c r="J370" s="203">
        <f ca="1">IFERROR(__xludf.DUMMYFUNCTION("IMPORTRANGE(""https://docs.google.com/spreadsheets/d/11923uPwbBZFjjGgGUA6NLw09EwE0CqkOc4q9oUmW1yo/edit?usp=sharing"",""ตาก!J265"")"),0)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IFERROR(__xludf.DUMMYFUNCTION("IMPORTRANGE(""https://docs.google.com/spreadsheets/d/11923uPwbBZFjjGgGUA6NLw09EwE0CqkOc4q9oUmW1yo/edit?usp=sharing"",""ตาก!I164"")"),0)</f>
        <v>0</v>
      </c>
      <c r="J371" s="188">
        <f ca="1">IFERROR(__xludf.DUMMYFUNCTION("IMPORTRANGE(""https://docs.google.com/spreadsheets/d/11923uPwbBZFjjGgGUA6NLw09EwE0CqkOc4q9oUmW1yo/edit?usp=sharing"",""ตาก!J164"")"),0)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IFERROR(__xludf.DUMMYFUNCTION("IMPORTRANGE(""https://docs.google.com/spreadsheets/d/11923uPwbBZFjjGgGUA6NLw09EwE0CqkOc4q9oUmW1yo/edit?usp=sharing"",""ตาก!I267"")"),0)</f>
        <v>0</v>
      </c>
      <c r="J372" s="188">
        <f ca="1">IFERROR(__xludf.DUMMYFUNCTION("IMPORTRANGE(""https://docs.google.com/spreadsheets/d/11923uPwbBZFjjGgGUA6NLw09EwE0CqkOc4q9oUmW1yo/edit?usp=sharing"",""ตาก!J267"")"),0)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IFERROR(__xludf.DUMMYFUNCTION("IMPORTRANGE(""https://docs.google.com/spreadsheets/d/11923uPwbBZFjjGgGUA6NLw09EwE0CqkOc4q9oUmW1yo/edit?usp=sharing"",""ตาก!I164"")"),0)</f>
        <v>0</v>
      </c>
      <c r="J373" s="203">
        <f ca="1">IFERROR(__xludf.DUMMYFUNCTION("IMPORTRANGE(""https://docs.google.com/spreadsheets/d/11923uPwbBZFjjGgGUA6NLw09EwE0CqkOc4q9oUmW1yo/edit?usp=sharing"",""ตาก!J164"")"),0)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IFERROR(__xludf.DUMMYFUNCTION("IMPORTRANGE(""https://docs.google.com/spreadsheets/d/11923uPwbBZFjjGgGUA6NLw09EwE0CqkOc4q9oUmW1yo/edit?usp=sharing"",""ตาก!I164"")"),0)</f>
        <v>0</v>
      </c>
      <c r="J374" s="187">
        <f ca="1">IFERROR(__xludf.DUMMYFUNCTION("IMPORTRANGE(""https://docs.google.com/spreadsheets/d/11923uPwbBZFjjGgGUA6NLw09EwE0CqkOc4q9oUmW1yo/edit?usp=sharing"",""ตาก!J164"")"),0)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IFERROR(__xludf.DUMMYFUNCTION("IMPORTRANGE(""https://docs.google.com/spreadsheets/d/11923uPwbBZFjjGgGUA6NLw09EwE0CqkOc4q9oUmW1yo/edit?usp=sharing"",""ตาก!I270"")"),0)</f>
        <v>0</v>
      </c>
      <c r="J375" s="187">
        <f ca="1">IFERROR(__xludf.DUMMYFUNCTION("IMPORTRANGE(""https://docs.google.com/spreadsheets/d/11923uPwbBZFjjGgGUA6NLw09EwE0CqkOc4q9oUmW1yo/edit?usp=sharing"",""ตาก!J270"")"),0)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IFERROR(__xludf.DUMMYFUNCTION("IMPORTRANGE(""https://docs.google.com/spreadsheets/d/11923uPwbBZFjjGgGUA6NLw09EwE0CqkOc4q9oUmW1yo/edit?usp=sharing"",""ตาก!I271"")"),0)</f>
        <v>0</v>
      </c>
      <c r="J376" s="188">
        <f ca="1">IFERROR(__xludf.DUMMYFUNCTION("IMPORTRANGE(""https://docs.google.com/spreadsheets/d/11923uPwbBZFjjGgGUA6NLw09EwE0CqkOc4q9oUmW1yo/edit?usp=sharing"",""ตาก!J271"")"),0)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IFERROR(__xludf.DUMMYFUNCTION("IMPORTRANGE(""https://docs.google.com/spreadsheets/d/11923uPwbBZFjjGgGUA6NLw09EwE0CqkOc4q9oUmW1yo/edit?usp=sharing"",""ตาก!I272"")"),0)</f>
        <v>0</v>
      </c>
      <c r="J377" s="203">
        <f ca="1">IFERROR(__xludf.DUMMYFUNCTION("IMPORTRANGE(""https://docs.google.com/spreadsheets/d/11923uPwbBZFjjGgGUA6NLw09EwE0CqkOc4q9oUmW1yo/edit?usp=sharing"",""ตาก!J272"")"),0)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IFERROR(__xludf.DUMMYFUNCTION("IMPORTRANGE(""https://docs.google.com/spreadsheets/d/11923uPwbBZFjjGgGUA6NLw09EwE0CqkOc4q9oUmW1yo/edit?usp=sharing"",""ตาก!J273"")"),0)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IFERROR(__xludf.DUMMYFUNCTION("IMPORTRANGE(""https://docs.google.com/spreadsheets/d/11923uPwbBZFjjGgGUA6NLw09EwE0CqkOc4q9oUmW1yo/edit?usp=sharing"",""ตาก!J274"")"),0)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IFERROR(__xludf.DUMMYFUNCTION("IMPORTRANGE(""https://docs.google.com/spreadsheets/d/11923uPwbBZFjjGgGUA6NLw09EwE0CqkOc4q9oUmW1yo/edit?usp=sharing"",""ตาก!I275"")"),500)</f>
        <v>500</v>
      </c>
      <c r="J380" s="370">
        <f ca="1">IFERROR(__xludf.DUMMYFUNCTION("IMPORTRANGE(""https://docs.google.com/spreadsheets/d/11923uPwbBZFjjGgGUA6NLw09EwE0CqkOc4q9oUmW1yo/edit?usp=sharing"",""ตาก!J275"")"),500)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IFERROR(__xludf.DUMMYFUNCTION("IMPORTRANGE(""https://docs.google.com/spreadsheets/d/11923uPwbBZFjjGgGUA6NLw09EwE0CqkOc4q9oUmW1yo/edit?usp=sharing"",""ตาก!L275"")"),460140)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IFERROR(__xludf.DUMMYFUNCTION("IMPORTRANGE(""https://docs.google.com/spreadsheets/d/11923uPwbBZFjjGgGUA6NLw09EwE0CqkOc4q9oUmW1yo/edit?usp=sharing"",""ตาก!M275"")"),434810)</f>
        <v>434810</v>
      </c>
      <c r="O380" s="372">
        <f ca="1">+IF(L380&gt;0,N380*100/L380,0)</f>
        <v>94.49515364888947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IFERROR(__xludf.DUMMYFUNCTION("IMPORTRANGE(""https://docs.google.com/spreadsheets/d/11923uPwbBZFjjGgGUA6NLw09EwE0CqkOc4q9oUmW1yo/edit?usp=sharing"",""ตาก!I276"")"),50)</f>
        <v>50</v>
      </c>
      <c r="J381" s="370">
        <f ca="1">IFERROR(__xludf.DUMMYFUNCTION("IMPORTRANGE(""https://docs.google.com/spreadsheets/d/11923uPwbBZFjjGgGUA6NLw09EwE0CqkOc4q9oUmW1yo/edit?usp=sharing"",""ตาก!J276"")"),50)</f>
        <v>50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IFERROR(__xludf.DUMMYFUNCTION("IMPORTRANGE(""https://docs.google.com/spreadsheets/d/11923uPwbBZFjjGgGUA6NLw09EwE0CqkOc4q9oUmW1yo/edit?usp=sharing"",""ตาก!L277"")"),0)</f>
        <v>0</v>
      </c>
      <c r="M382" s="164"/>
      <c r="N382" s="164">
        <f ca="1">IFERROR(__xludf.DUMMYFUNCTION("IMPORTRANGE(""https://docs.google.com/spreadsheets/d/11923uPwbBZFjjGgGUA6NLw09EwE0CqkOc4q9oUmW1yo/edit?usp=sharing"",""ตาก!M277"")"),0)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IFERROR(__xludf.DUMMYFUNCTION("IMPORTRANGE(""https://docs.google.com/spreadsheets/d/11923uPwbBZFjjGgGUA6NLw09EwE0CqkOc4q9oUmW1yo/edit?usp=sharing"",""ตาก!L278"")"),460140)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IFERROR(__xludf.DUMMYFUNCTION("IMPORTRANGE(""https://docs.google.com/spreadsheets/d/11923uPwbBZFjjGgGUA6NLw09EwE0CqkOc4q9oUmW1yo/edit?usp=sharing"",""ตาก!M278"")"),434810)</f>
        <v>434810</v>
      </c>
      <c r="O383" s="165">
        <f t="shared" ca="1" si="109"/>
        <v>94.49515364888947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IFERROR(__xludf.DUMMYFUNCTION("IMPORTRANGE(""https://docs.google.com/spreadsheets/d/11923uPwbBZFjjGgGUA6NLw09EwE0CqkOc4q9oUmW1yo/edit?usp=sharing"",""ตาก!L279"")"),0)</f>
        <v>0</v>
      </c>
      <c r="M384" s="168"/>
      <c r="N384" s="168">
        <f ca="1">IFERROR(__xludf.DUMMYFUNCTION("IMPORTRANGE(""https://docs.google.com/spreadsheets/d/11923uPwbBZFjjGgGUA6NLw09EwE0CqkOc4q9oUmW1yo/edit?usp=sharing"",""ตาก!M279"")"),0)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IFERROR(__xludf.DUMMYFUNCTION("IMPORTRANGE(""https://docs.google.com/spreadsheets/d/11923uPwbBZFjjGgGUA6NLw09EwE0CqkOc4q9oUmW1yo/edit?usp=sharing"",""ตาก!L280"")"),460140)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IFERROR(__xludf.DUMMYFUNCTION("IMPORTRANGE(""https://docs.google.com/spreadsheets/d/11923uPwbBZFjjGgGUA6NLw09EwE0CqkOc4q9oUmW1yo/edit?usp=sharing"",""ตาก!M280"")"),434810)</f>
        <v>434810</v>
      </c>
      <c r="O385" s="168">
        <f t="shared" ca="1" si="109"/>
        <v>94.49515364888947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IFERROR(__xludf.DUMMYFUNCTION("IMPORTRANGE(""https://docs.google.com/spreadsheets/d/11923uPwbBZFjjGgGUA6NLw09EwE0CqkOc4q9oUmW1yo/edit?usp=sharing"",""ตาก!M281"")"),85670)</f>
        <v>85670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IFERROR(__xludf.DUMMYFUNCTION("IMPORTRANGE(""https://docs.google.com/spreadsheets/d/11923uPwbBZFjjGgGUA6NLw09EwE0CqkOc4q9oUmW1yo/edit?usp=sharing"",""ตาก!M282"")"),312500)</f>
        <v>312500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IFERROR(__xludf.DUMMYFUNCTION("IMPORTRANGE(""https://docs.google.com/spreadsheets/d/11923uPwbBZFjjGgGUA6NLw09EwE0CqkOc4q9oUmW1yo/edit?usp=sharing"",""ตาก!M283"")"),0)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IFERROR(__xludf.DUMMYFUNCTION("IMPORTRANGE(""https://docs.google.com/spreadsheets/d/11923uPwbBZFjjGgGUA6NLw09EwE0CqkOc4q9oUmW1yo/edit?usp=sharing"",""ตาก!M284"")"),36640)</f>
        <v>36640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IFERROR(__xludf.DUMMYFUNCTION("IMPORTRANGE(""https://docs.google.com/spreadsheets/d/11923uPwbBZFjjGgGUA6NLw09EwE0CqkOc4q9oUmW1yo/edit?usp=sharing"",""ตาก!J286"")"),0)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IFERROR(__xludf.DUMMYFUNCTION("IMPORTRANGE(""https://docs.google.com/spreadsheets/d/11923uPwbBZFjjGgGUA6NLw09EwE0CqkOc4q9oUmW1yo/edit?usp=sharing"",""ตาก!J287"")"),1)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IFERROR(__xludf.DUMMYFUNCTION("IMPORTRANGE(""https://docs.google.com/spreadsheets/d/11923uPwbBZFjjGgGUA6NLw09EwE0CqkOc4q9oUmW1yo/edit?usp=sharing"",""ตาก!J288"")"),1)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IFERROR(__xludf.DUMMYFUNCTION("IMPORTRANGE(""https://docs.google.com/spreadsheets/d/11923uPwbBZFjjGgGUA6NLw09EwE0CqkOc4q9oUmW1yo/edit?usp=sharing"",""ตาก!J289"")"),1)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IFERROR(__xludf.DUMMYFUNCTION("IMPORTRANGE(""https://docs.google.com/spreadsheets/d/11923uPwbBZFjjGgGUA6NLw09EwE0CqkOc4q9oUmW1yo/edit?usp=sharing"",""ตาก!I291"")"),50)</f>
        <v>50</v>
      </c>
      <c r="J396" s="197">
        <f ca="1">IFERROR(__xludf.DUMMYFUNCTION("IMPORTRANGE(""https://docs.google.com/spreadsheets/d/11923uPwbBZFjjGgGUA6NLw09EwE0CqkOc4q9oUmW1yo/edit?usp=sharing"",""ตาก!J291"")"),50)</f>
        <v>50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IFERROR(__xludf.DUMMYFUNCTION("IMPORTRANGE(""https://docs.google.com/spreadsheets/d/11923uPwbBZFjjGgGUA6NLw09EwE0CqkOc4q9oUmW1yo/edit?usp=sharing"",""ตาก!I292"")"),500)</f>
        <v>500</v>
      </c>
      <c r="J397" s="197">
        <f ca="1">IFERROR(__xludf.DUMMYFUNCTION("IMPORTRANGE(""https://docs.google.com/spreadsheets/d/11923uPwbBZFjjGgGUA6NLw09EwE0CqkOc4q9oUmW1yo/edit?usp=sharing"",""ตาก!J292"")"),500)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IFERROR(__xludf.DUMMYFUNCTION("IMPORTRANGE(""https://docs.google.com/spreadsheets/d/11923uPwbBZFjjGgGUA6NLw09EwE0CqkOc4q9oUmW1yo/edit?usp=sharing"",""ตาก!I293"")"),50)</f>
        <v>50</v>
      </c>
      <c r="J398" s="197">
        <f ca="1">IFERROR(__xludf.DUMMYFUNCTION("IMPORTRANGE(""https://docs.google.com/spreadsheets/d/11923uPwbBZFjjGgGUA6NLw09EwE0CqkOc4q9oUmW1yo/edit?usp=sharing"",""ตาก!J293"")"),50)</f>
        <v>50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IFERROR(__xludf.DUMMYFUNCTION("IMPORTRANGE(""https://docs.google.com/spreadsheets/d/11923uPwbBZFjjGgGUA6NLw09EwE0CqkOc4q9oUmW1yo/edit?usp=sharing"",""ตาก!J294"")"),0)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IFERROR(__xludf.DUMMYFUNCTION("IMPORTRANGE(""https://docs.google.com/spreadsheets/d/11923uPwbBZFjjGgGUA6NLw09EwE0CqkOc4q9oUmW1yo/edit?usp=sharing"",""ตาก!J295"")"),0)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IFERROR(__xludf.DUMMYFUNCTION("IMPORTRANGE(""https://docs.google.com/spreadsheets/d/11923uPwbBZFjjGgGUA6NLw09EwE0CqkOc4q9oUmW1yo/edit?usp=sharing"",""ตาก!I296"")"),225)</f>
        <v>225</v>
      </c>
      <c r="J401" s="370">
        <f ca="1">IFERROR(__xludf.DUMMYFUNCTION("IMPORTRANGE(""https://docs.google.com/spreadsheets/d/11923uPwbBZFjjGgGUA6NLw09EwE0CqkOc4q9oUmW1yo/edit?usp=sharing"",""ตาก!J296"")"),225)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IFERROR(__xludf.DUMMYFUNCTION("IMPORTRANGE(""https://docs.google.com/spreadsheets/d/11923uPwbBZFjjGgGUA6NLw09EwE0CqkOc4q9oUmW1yo/edit?usp=sharing"",""ตาก!L296"")"),230370)</f>
        <v>230370</v>
      </c>
      <c r="M401" s="372"/>
      <c r="N401" s="372">
        <f ca="1">IFERROR(__xludf.DUMMYFUNCTION("IMPORTRANGE(""https://docs.google.com/spreadsheets/d/11923uPwbBZFjjGgGUA6NLw09EwE0CqkOc4q9oUmW1yo/edit?usp=sharing"",""ตาก!M296"")"),218492)</f>
        <v>218492</v>
      </c>
      <c r="O401" s="372">
        <f ca="1">+IF(L401&gt;0,N401*100/L401,0)</f>
        <v>94.843946694448064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IFERROR(__xludf.DUMMYFUNCTION("IMPORTRANGE(""https://docs.google.com/spreadsheets/d/11923uPwbBZFjjGgGUA6NLw09EwE0CqkOc4q9oUmW1yo/edit?usp=sharing"",""ตาก!I297"")"),75)</f>
        <v>75</v>
      </c>
      <c r="J402" s="370">
        <f ca="1">IFERROR(__xludf.DUMMYFUNCTION("IMPORTRANGE(""https://docs.google.com/spreadsheets/d/11923uPwbBZFjjGgGUA6NLw09EwE0CqkOc4q9oUmW1yo/edit?usp=sharing"",""ตาก!J297"")"),75)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IFERROR(__xludf.DUMMYFUNCTION("IMPORTRANGE(""https://docs.google.com/spreadsheets/d/11923uPwbBZFjjGgGUA6NLw09EwE0CqkOc4q9oUmW1yo/edit?usp=sharing"",""ตาก!L298"")"),0)</f>
        <v>0</v>
      </c>
      <c r="M403" s="164"/>
      <c r="N403" s="168">
        <f ca="1">IFERROR(__xludf.DUMMYFUNCTION("IMPORTRANGE(""https://docs.google.com/spreadsheets/d/11923uPwbBZFjjGgGUA6NLw09EwE0CqkOc4q9oUmW1yo/edit?usp=sharing"",""ตาก!M298"")"),0)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IFERROR(__xludf.DUMMYFUNCTION("IMPORTRANGE(""https://docs.google.com/spreadsheets/d/11923uPwbBZFjjGgGUA6NLw09EwE0CqkOc4q9oUmW1yo/edit?usp=sharing"",""ตาก!L299"")"),230370)</f>
        <v>230370</v>
      </c>
      <c r="M404" s="165"/>
      <c r="N404" s="168">
        <f ca="1">IFERROR(__xludf.DUMMYFUNCTION("IMPORTRANGE(""https://docs.google.com/spreadsheets/d/11923uPwbBZFjjGgGUA6NLw09EwE0CqkOc4q9oUmW1yo/edit?usp=sharing"",""ตาก!M299"")"),218492)</f>
        <v>218492</v>
      </c>
      <c r="O404" s="168">
        <f t="shared" ca="1" si="112"/>
        <v>94.843946694448064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IFERROR(__xludf.DUMMYFUNCTION("IMPORTRANGE(""https://docs.google.com/spreadsheets/d/11923uPwbBZFjjGgGUA6NLw09EwE0CqkOc4q9oUmW1yo/edit?usp=sharing"",""ตาก!L300"")"),0)</f>
        <v>0</v>
      </c>
      <c r="M405" s="168"/>
      <c r="N405" s="168">
        <f ca="1">IFERROR(__xludf.DUMMYFUNCTION("IMPORTRANGE(""https://docs.google.com/spreadsheets/d/11923uPwbBZFjjGgGUA6NLw09EwE0CqkOc4q9oUmW1yo/edit?usp=sharing"",""ตาก!M300"")"),0)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IFERROR(__xludf.DUMMYFUNCTION("IMPORTRANGE(""https://docs.google.com/spreadsheets/d/11923uPwbBZFjjGgGUA6NLw09EwE0CqkOc4q9oUmW1yo/edit?usp=sharing"",""ตาก!L301"")"),230370)</f>
        <v>230370</v>
      </c>
      <c r="M406" s="168"/>
      <c r="N406" s="168">
        <f ca="1">IFERROR(__xludf.DUMMYFUNCTION("IMPORTRANGE(""https://docs.google.com/spreadsheets/d/11923uPwbBZFjjGgGUA6NLw09EwE0CqkOc4q9oUmW1yo/edit?usp=sharing"",""ตาก!M301"")"),218492)</f>
        <v>218492</v>
      </c>
      <c r="O406" s="168">
        <f t="shared" ca="1" si="112"/>
        <v>94.843946694448064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IFERROR(__xludf.DUMMYFUNCTION("IMPORTRANGE(""https://docs.google.com/spreadsheets/d/11923uPwbBZFjjGgGUA6NLw09EwE0CqkOc4q9oUmW1yo/edit?usp=sharing"",""ตาก!M302"")"),137472)</f>
        <v>137472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IFERROR(__xludf.DUMMYFUNCTION("IMPORTRANGE(""https://docs.google.com/spreadsheets/d/11923uPwbBZFjjGgGUA6NLw09EwE0CqkOc4q9oUmW1yo/edit?usp=sharing"",""ตาก!M303"")"),45500)</f>
        <v>45500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IFERROR(__xludf.DUMMYFUNCTION("IMPORTRANGE(""https://docs.google.com/spreadsheets/d/11923uPwbBZFjjGgGUA6NLw09EwE0CqkOc4q9oUmW1yo/edit?usp=sharing"",""ตาก!M304"")"),0)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IFERROR(__xludf.DUMMYFUNCTION("IMPORTRANGE(""https://docs.google.com/spreadsheets/d/11923uPwbBZFjjGgGUA6NLw09EwE0CqkOc4q9oUmW1yo/edit?usp=sharing"",""ตาก!M305"")"),35520)</f>
        <v>35520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IFERROR(__xludf.DUMMYFUNCTION("IMPORTRANGE(""https://docs.google.com/spreadsheets/d/11923uPwbBZFjjGgGUA6NLw09EwE0CqkOc4q9oUmW1yo/edit?usp=sharing"",""ตาก!J307"")"),0)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IFERROR(__xludf.DUMMYFUNCTION("IMPORTRANGE(""https://docs.google.com/spreadsheets/d/11923uPwbBZFjjGgGUA6NLw09EwE0CqkOc4q9oUmW1yo/edit?usp=sharing"",""ตาก!J308"")"),1)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IFERROR(__xludf.DUMMYFUNCTION("IMPORTRANGE(""https://docs.google.com/spreadsheets/d/11923uPwbBZFjjGgGUA6NLw09EwE0CqkOc4q9oUmW1yo/edit?usp=sharing"",""ตาก!J309"")"),1)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IFERROR(__xludf.DUMMYFUNCTION("IMPORTRANGE(""https://docs.google.com/spreadsheets/d/11923uPwbBZFjjGgGUA6NLw09EwE0CqkOc4q9oUmW1yo/edit?usp=sharing"",""ตาก!J310"")"),1)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IFERROR(__xludf.DUMMYFUNCTION("IMPORTRANGE(""https://docs.google.com/spreadsheets/d/11923uPwbBZFjjGgGUA6NLw09EwE0CqkOc4q9oUmW1yo/edit?usp=sharing"",""ตาก!I311"")"),75)</f>
        <v>75</v>
      </c>
      <c r="J416" s="200">
        <f ca="1">IFERROR(__xludf.DUMMYFUNCTION("IMPORTRANGE(""https://docs.google.com/spreadsheets/d/11923uPwbBZFjjGgGUA6NLw09EwE0CqkOc4q9oUmW1yo/edit?usp=sharing"",""ตาก!J311"")"),75)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IFERROR(__xludf.DUMMYFUNCTION("IMPORTRANGE(""https://docs.google.com/spreadsheets/d/11923uPwbBZFjjGgGUA6NLw09EwE0CqkOc4q9oUmW1yo/edit?usp=sharing"",""ตาก!I312"")"),0)</f>
        <v>0</v>
      </c>
      <c r="J417" s="391">
        <f ca="1">IFERROR(__xludf.DUMMYFUNCTION("IMPORTRANGE(""https://docs.google.com/spreadsheets/d/11923uPwbBZFjjGgGUA6NLw09EwE0CqkOc4q9oUmW1yo/edit?usp=sharing"",""ตาก!J312"")"),0)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IFERROR(__xludf.DUMMYFUNCTION("IMPORTRANGE(""https://docs.google.com/spreadsheets/d/11923uPwbBZFjjGgGUA6NLw09EwE0CqkOc4q9oUmW1yo/edit?usp=sharing"",""ตาก!I313"")"),0)</f>
        <v>0</v>
      </c>
      <c r="J418" s="392">
        <f ca="1">IFERROR(__xludf.DUMMYFUNCTION("IMPORTRANGE(""https://docs.google.com/spreadsheets/d/11923uPwbBZFjjGgGUA6NLw09EwE0CqkOc4q9oUmW1yo/edit?usp=sharing"",""ตาก!J313"")"),0)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IFERROR(__xludf.DUMMYFUNCTION("IMPORTRANGE(""https://docs.google.com/spreadsheets/d/11923uPwbBZFjjGgGUA6NLw09EwE0CqkOc4q9oUmW1yo/edit?usp=sharing"",""ตาก!I314"")"),0)</f>
        <v>0</v>
      </c>
      <c r="J419" s="393">
        <f ca="1">IFERROR(__xludf.DUMMYFUNCTION("IMPORTRANGE(""https://docs.google.com/spreadsheets/d/11923uPwbBZFjjGgGUA6NLw09EwE0CqkOc4q9oUmW1yo/edit?usp=sharing"",""ตาก!J314"")"),0)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IFERROR(__xludf.DUMMYFUNCTION("IMPORTRANGE(""https://docs.google.com/spreadsheets/d/11923uPwbBZFjjGgGUA6NLw09EwE0CqkOc4q9oUmW1yo/edit?usp=sharing"",""ตาก!I315"")"),0)</f>
        <v>0</v>
      </c>
      <c r="J420" s="393">
        <f ca="1">IFERROR(__xludf.DUMMYFUNCTION("IMPORTRANGE(""https://docs.google.com/spreadsheets/d/11923uPwbBZFjjGgGUA6NLw09EwE0CqkOc4q9oUmW1yo/edit?usp=sharing"",""ตาก!J315"")"),0)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IFERROR(__xludf.DUMMYFUNCTION("IMPORTRANGE(""https://docs.google.com/spreadsheets/d/11923uPwbBZFjjGgGUA6NLw09EwE0CqkOc4q9oUmW1yo/edit?usp=sharing"",""ตาก!I316"")"),65)</f>
        <v>65</v>
      </c>
      <c r="J421" s="391">
        <f ca="1">IFERROR(__xludf.DUMMYFUNCTION("IMPORTRANGE(""https://docs.google.com/spreadsheets/d/11923uPwbBZFjjGgGUA6NLw09EwE0CqkOc4q9oUmW1yo/edit?usp=sharing"",""ตาก!J316"")"),65)</f>
        <v>65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IFERROR(__xludf.DUMMYFUNCTION("IMPORTRANGE(""https://docs.google.com/spreadsheets/d/11923uPwbBZFjjGgGUA6NLw09EwE0CqkOc4q9oUmW1yo/edit?usp=sharing"",""ตาก!I317"")"),195)</f>
        <v>195</v>
      </c>
      <c r="J422" s="392">
        <f ca="1">IFERROR(__xludf.DUMMYFUNCTION("IMPORTRANGE(""https://docs.google.com/spreadsheets/d/11923uPwbBZFjjGgGUA6NLw09EwE0CqkOc4q9oUmW1yo/edit?usp=sharing"",""ตาก!J317"")"),195)</f>
        <v>195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IFERROR(__xludf.DUMMYFUNCTION("IMPORTRANGE(""https://docs.google.com/spreadsheets/d/11923uPwbBZFjjGgGUA6NLw09EwE0CqkOc4q9oUmW1yo/edit?usp=sharing"",""ตาก!I318"")"),65)</f>
        <v>65</v>
      </c>
      <c r="J423" s="393">
        <f ca="1">IFERROR(__xludf.DUMMYFUNCTION("IMPORTRANGE(""https://docs.google.com/spreadsheets/d/11923uPwbBZFjjGgGUA6NLw09EwE0CqkOc4q9oUmW1yo/edit?usp=sharing"",""ตาก!J318"")"),65)</f>
        <v>65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IFERROR(__xludf.DUMMYFUNCTION("IMPORTRANGE(""https://docs.google.com/spreadsheets/d/11923uPwbBZFjjGgGUA6NLw09EwE0CqkOc4q9oUmW1yo/edit?usp=sharing"",""ตาก!I319"")"),65)</f>
        <v>65</v>
      </c>
      <c r="J424" s="393">
        <f ca="1">IFERROR(__xludf.DUMMYFUNCTION("IMPORTRANGE(""https://docs.google.com/spreadsheets/d/11923uPwbBZFjjGgGUA6NLw09EwE0CqkOc4q9oUmW1yo/edit?usp=sharing"",""ตาก!J319"")"),65)</f>
        <v>65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IFERROR(__xludf.DUMMYFUNCTION("IMPORTRANGE(""https://docs.google.com/spreadsheets/d/11923uPwbBZFjjGgGUA6NLw09EwE0CqkOc4q9oUmW1yo/edit?usp=sharing"",""ตาก!I320"")"),65)</f>
        <v>65</v>
      </c>
      <c r="J425" s="393">
        <f ca="1">IFERROR(__xludf.DUMMYFUNCTION("IMPORTRANGE(""https://docs.google.com/spreadsheets/d/11923uPwbBZFjjGgGUA6NLw09EwE0CqkOc4q9oUmW1yo/edit?usp=sharing"",""ตาก!J320"")"),65)</f>
        <v>65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IFERROR(__xludf.DUMMYFUNCTION("IMPORTRANGE(""https://docs.google.com/spreadsheets/d/11923uPwbBZFjjGgGUA6NLw09EwE0CqkOc4q9oUmW1yo/edit?usp=sharing"",""ตาก!I321"")"),10)</f>
        <v>10</v>
      </c>
      <c r="J426" s="391">
        <f ca="1">IFERROR(__xludf.DUMMYFUNCTION("IMPORTRANGE(""https://docs.google.com/spreadsheets/d/11923uPwbBZFjjGgGUA6NLw09EwE0CqkOc4q9oUmW1yo/edit?usp=sharing"",""ตาก!J321"")"),10)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IFERROR(__xludf.DUMMYFUNCTION("IMPORTRANGE(""https://docs.google.com/spreadsheets/d/11923uPwbBZFjjGgGUA6NLw09EwE0CqkOc4q9oUmW1yo/edit?usp=sharing"",""ตาก!I322"")"),30)</f>
        <v>30</v>
      </c>
      <c r="J427" s="392">
        <f ca="1">IFERROR(__xludf.DUMMYFUNCTION("IMPORTRANGE(""https://docs.google.com/spreadsheets/d/11923uPwbBZFjjGgGUA6NLw09EwE0CqkOc4q9oUmW1yo/edit?usp=sharing"",""ตาก!J322"")"),30)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IFERROR(__xludf.DUMMYFUNCTION("IMPORTRANGE(""https://docs.google.com/spreadsheets/d/11923uPwbBZFjjGgGUA6NLw09EwE0CqkOc4q9oUmW1yo/edit?usp=sharing"",""ตาก!I323"")"),10)</f>
        <v>10</v>
      </c>
      <c r="J428" s="393">
        <f ca="1">IFERROR(__xludf.DUMMYFUNCTION("IMPORTRANGE(""https://docs.google.com/spreadsheets/d/11923uPwbBZFjjGgGUA6NLw09EwE0CqkOc4q9oUmW1yo/edit?usp=sharing"",""ตาก!J323"")"),10)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IFERROR(__xludf.DUMMYFUNCTION("IMPORTRANGE(""https://docs.google.com/spreadsheets/d/11923uPwbBZFjjGgGUA6NLw09EwE0CqkOc4q9oUmW1yo/edit?usp=sharing"",""ตาก!I324"")"),10)</f>
        <v>10</v>
      </c>
      <c r="J429" s="393">
        <f ca="1">IFERROR(__xludf.DUMMYFUNCTION("IMPORTRANGE(""https://docs.google.com/spreadsheets/d/11923uPwbBZFjjGgGUA6NLw09EwE0CqkOc4q9oUmW1yo/edit?usp=sharing"",""ตาก!J324"")"),10)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IFERROR(__xludf.DUMMYFUNCTION("IMPORTRANGE(""https://docs.google.com/spreadsheets/d/11923uPwbBZFjjGgGUA6NLw09EwE0CqkOc4q9oUmW1yo/edit?usp=sharing"",""ตาก!I325"")"),65)</f>
        <v>65</v>
      </c>
      <c r="J430" s="391">
        <f ca="1">IFERROR(__xludf.DUMMYFUNCTION("IMPORTRANGE(""https://docs.google.com/spreadsheets/d/11923uPwbBZFjjGgGUA6NLw09EwE0CqkOc4q9oUmW1yo/edit?usp=sharing"",""ตาก!J325"")"),65)</f>
        <v>65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IFERROR(__xludf.DUMMYFUNCTION("IMPORTRANGE(""https://docs.google.com/spreadsheets/d/11923uPwbBZFjjGgGUA6NLw09EwE0CqkOc4q9oUmW1yo/edit?usp=sharing"",""ตาก!I326"")"),0)</f>
        <v>0</v>
      </c>
      <c r="J431" s="393">
        <f ca="1">IFERROR(__xludf.DUMMYFUNCTION("IMPORTRANGE(""https://docs.google.com/spreadsheets/d/11923uPwbBZFjjGgGUA6NLw09EwE0CqkOc4q9oUmW1yo/edit?usp=sharing"",""ตาก!J326"")"),0)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IFERROR(__xludf.DUMMYFUNCTION("IMPORTRANGE(""https://docs.google.com/spreadsheets/d/11923uPwbBZFjjGgGUA6NLw09EwE0CqkOc4q9oUmW1yo/edit?usp=sharing"",""ตาก!I327"")"),65)</f>
        <v>65</v>
      </c>
      <c r="J432" s="393">
        <f ca="1">IFERROR(__xludf.DUMMYFUNCTION("IMPORTRANGE(""https://docs.google.com/spreadsheets/d/11923uPwbBZFjjGgGUA6NLw09EwE0CqkOc4q9oUmW1yo/edit?usp=sharing"",""ตาก!J327"")"),65)</f>
        <v>65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IFERROR(__xludf.DUMMYFUNCTION("IMPORTRANGE(""https://docs.google.com/spreadsheets/d/11923uPwbBZFjjGgGUA6NLw09EwE0CqkOc4q9oUmW1yo/edit?usp=sharing"",""ตาก!J328"")"),0)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IFERROR(__xludf.DUMMYFUNCTION("IMPORTRANGE(""https://docs.google.com/spreadsheets/d/11923uPwbBZFjjGgGUA6NLw09EwE0CqkOc4q9oUmW1yo/edit?usp=sharing"",""ตาก!J329"")"),0)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IFERROR(__xludf.DUMMYFUNCTION("IMPORTRANGE(""https://docs.google.com/spreadsheets/d/11923uPwbBZFjjGgGUA6NLw09EwE0CqkOc4q9oUmW1yo/edit?usp=sharing"",""ตาก!I330"")"),20)</f>
        <v>20</v>
      </c>
      <c r="J435" s="409">
        <f ca="1">IFERROR(__xludf.DUMMYFUNCTION("IMPORTRANGE(""https://docs.google.com/spreadsheets/d/11923uPwbBZFjjGgGUA6NLw09EwE0CqkOc4q9oUmW1yo/edit?usp=sharing"",""ตาก!J330"")"),20)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IFERROR(__xludf.DUMMYFUNCTION("IMPORTRANGE(""https://docs.google.com/spreadsheets/d/11923uPwbBZFjjGgGUA6NLw09EwE0CqkOc4q9oUmW1yo/edit?usp=sharing"",""ตาก!L330"")"),100000)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IFERROR(__xludf.DUMMYFUNCTION("IMPORTRANGE(""https://docs.google.com/spreadsheets/d/11923uPwbBZFjjGgGUA6NLw09EwE0CqkOc4q9oUmW1yo/edit?usp=sharing"",""ตาก!M330"")"),75868)</f>
        <v>75868</v>
      </c>
      <c r="O435" s="411">
        <f t="shared" ref="O435:O439" ca="1" si="114">+IF(L435&gt;0,N435*100/L435,0)</f>
        <v>75.867999999999995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IFERROR(__xludf.DUMMYFUNCTION("IMPORTRANGE(""https://docs.google.com/spreadsheets/d/11923uPwbBZFjjGgGUA6NLw09EwE0CqkOc4q9oUmW1yo/edit?usp=sharing"",""ตาก!L331"")"),0)</f>
        <v>0</v>
      </c>
      <c r="M436" s="164"/>
      <c r="N436" s="168">
        <f ca="1">IFERROR(__xludf.DUMMYFUNCTION("IMPORTRANGE(""https://docs.google.com/spreadsheets/d/11923uPwbBZFjjGgGUA6NLw09EwE0CqkOc4q9oUmW1yo/edit?usp=sharing"",""ตาก!M331"")"),0)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IFERROR(__xludf.DUMMYFUNCTION("IMPORTRANGE(""https://docs.google.com/spreadsheets/d/11923uPwbBZFjjGgGUA6NLw09EwE0CqkOc4q9oUmW1yo/edit?usp=sharing"",""ตาก!L332"")"),100000)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IFERROR(__xludf.DUMMYFUNCTION("IMPORTRANGE(""https://docs.google.com/spreadsheets/d/11923uPwbBZFjjGgGUA6NLw09EwE0CqkOc4q9oUmW1yo/edit?usp=sharing"",""ตาก!M332"")"),75868)</f>
        <v>75868</v>
      </c>
      <c r="O437" s="168">
        <f t="shared" ca="1" si="114"/>
        <v>75.867999999999995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IFERROR(__xludf.DUMMYFUNCTION("IMPORTRANGE(""https://docs.google.com/spreadsheets/d/11923uPwbBZFjjGgGUA6NLw09EwE0CqkOc4q9oUmW1yo/edit?usp=sharing"",""ตาก!L333"")"),0)</f>
        <v>0</v>
      </c>
      <c r="M438" s="168"/>
      <c r="N438" s="168">
        <f ca="1">IFERROR(__xludf.DUMMYFUNCTION("IMPORTRANGE(""https://docs.google.com/spreadsheets/d/11923uPwbBZFjjGgGUA6NLw09EwE0CqkOc4q9oUmW1yo/edit?usp=sharing"",""ตาก!M333"")"),0)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IFERROR(__xludf.DUMMYFUNCTION("IMPORTRANGE(""https://docs.google.com/spreadsheets/d/11923uPwbBZFjjGgGUA6NLw09EwE0CqkOc4q9oUmW1yo/edit?usp=sharing"",""ตาก!L334"")"),100000)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IFERROR(__xludf.DUMMYFUNCTION("IMPORTRANGE(""https://docs.google.com/spreadsheets/d/11923uPwbBZFjjGgGUA6NLw09EwE0CqkOc4q9oUmW1yo/edit?usp=sharing"",""ตาก!M334"")"),75868)</f>
        <v>75868</v>
      </c>
      <c r="O439" s="168">
        <f t="shared" ca="1" si="114"/>
        <v>75.867999999999995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IFERROR(__xludf.DUMMYFUNCTION("IMPORTRANGE(""https://docs.google.com/spreadsheets/d/11923uPwbBZFjjGgGUA6NLw09EwE0CqkOc4q9oUmW1yo/edit?usp=sharing"",""ตาก!M335"")"),44200)</f>
        <v>44200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IFERROR(__xludf.DUMMYFUNCTION("IMPORTRANGE(""https://docs.google.com/spreadsheets/d/11923uPwbBZFjjGgGUA6NLw09EwE0CqkOc4q9oUmW1yo/edit?usp=sharing"",""ตาก!M336"")"),0)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IFERROR(__xludf.DUMMYFUNCTION("IMPORTRANGE(""https://docs.google.com/spreadsheets/d/11923uPwbBZFjjGgGUA6NLw09EwE0CqkOc4q9oUmW1yo/edit?usp=sharing"",""ตาก!M337"")"),0)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IFERROR(__xludf.DUMMYFUNCTION("IMPORTRANGE(""https://docs.google.com/spreadsheets/d/11923uPwbBZFjjGgGUA6NLw09EwE0CqkOc4q9oUmW1yo/edit?usp=sharing"",""ตาก!M338"")"),31668)</f>
        <v>31668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IFERROR(__xludf.DUMMYFUNCTION("IMPORTRANGE(""https://docs.google.com/spreadsheets/d/11923uPwbBZFjjGgGUA6NLw09EwE0CqkOc4q9oUmW1yo/edit?usp=sharing"",""ตาก!J340"")"),0)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IFERROR(__xludf.DUMMYFUNCTION("IMPORTRANGE(""https://docs.google.com/spreadsheets/d/11923uPwbBZFjjGgGUA6NLw09EwE0CqkOc4q9oUmW1yo/edit?usp=sharing"",""ตาก!J341"")"),1)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IFERROR(__xludf.DUMMYFUNCTION("IMPORTRANGE(""https://docs.google.com/spreadsheets/d/11923uPwbBZFjjGgGUA6NLw09EwE0CqkOc4q9oUmW1yo/edit?usp=sharing"",""ตาก!J342"")"),1)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IFERROR(__xludf.DUMMYFUNCTION("IMPORTRANGE(""https://docs.google.com/spreadsheets/d/11923uPwbBZFjjGgGUA6NLw09EwE0CqkOc4q9oUmW1yo/edit?usp=sharing"",""ตาก!J343"")"),1)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IFERROR(__xludf.DUMMYFUNCTION("IMPORTRANGE(""https://docs.google.com/spreadsheets/d/11923uPwbBZFjjGgGUA6NLw09EwE0CqkOc4q9oUmW1yo/edit?usp=sharing"",""ตาก!I344"")"),20)</f>
        <v>20</v>
      </c>
      <c r="J449" s="200">
        <f ca="1">IFERROR(__xludf.DUMMYFUNCTION("IMPORTRANGE(""https://docs.google.com/spreadsheets/d/11923uPwbBZFjjGgGUA6NLw09EwE0CqkOc4q9oUmW1yo/edit?usp=sharing"",""ตาก!J344"")"),20)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IFERROR(__xludf.DUMMYFUNCTION("IMPORTRANGE(""https://docs.google.com/spreadsheets/d/11923uPwbBZFjjGgGUA6NLw09EwE0CqkOc4q9oUmW1yo/edit?usp=sharing"",""ตาก!I345"")"),20)</f>
        <v>20</v>
      </c>
      <c r="J450" s="188">
        <f ca="1">IFERROR(__xludf.DUMMYFUNCTION("IMPORTRANGE(""https://docs.google.com/spreadsheets/d/11923uPwbBZFjjGgGUA6NLw09EwE0CqkOc4q9oUmW1yo/edit?usp=sharing"",""ตาก!J345"")"),20)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IFERROR(__xludf.DUMMYFUNCTION("IMPORTRANGE(""https://docs.google.com/spreadsheets/d/11923uPwbBZFjjGgGUA6NLw09EwE0CqkOc4q9oUmW1yo/edit?usp=sharing"",""ตาก!I346"")"),0)</f>
        <v>0</v>
      </c>
      <c r="J451" s="187">
        <f ca="1">IFERROR(__xludf.DUMMYFUNCTION("IMPORTRANGE(""https://docs.google.com/spreadsheets/d/11923uPwbBZFjjGgGUA6NLw09EwE0CqkOc4q9oUmW1yo/edit?usp=sharing"",""ตาก!J346"")"),0)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IFERROR(__xludf.DUMMYFUNCTION("IMPORTRANGE(""https://docs.google.com/spreadsheets/d/11923uPwbBZFjjGgGUA6NLw09EwE0CqkOc4q9oUmW1yo/edit?usp=sharing"",""ตาก!I347"")"),0)</f>
        <v>0</v>
      </c>
      <c r="J452" s="187">
        <f ca="1">IFERROR(__xludf.DUMMYFUNCTION("IMPORTRANGE(""https://docs.google.com/spreadsheets/d/11923uPwbBZFjjGgGUA6NLw09EwE0CqkOc4q9oUmW1yo/edit?usp=sharing"",""ตาก!J347"")"),0)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IFERROR(__xludf.DUMMYFUNCTION("IMPORTRANGE(""https://docs.google.com/spreadsheets/d/11923uPwbBZFjjGgGUA6NLw09EwE0CqkOc4q9oUmW1yo/edit?usp=sharing"",""ตาก!J348"")"),0)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IFERROR(__xludf.DUMMYFUNCTION("IMPORTRANGE(""https://docs.google.com/spreadsheets/d/11923uPwbBZFjjGgGUA6NLw09EwE0CqkOc4q9oUmW1yo/edit?usp=sharing"",""ตาก!J349"")"),0)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IFERROR(__xludf.DUMMYFUNCTION("IMPORTRANGE(""https://docs.google.com/spreadsheets/d/11923uPwbBZFjjGgGUA6NLw09EwE0CqkOc4q9oUmW1yo/edit?usp=sharing"",""ตาก!I350"")"),55356)</f>
        <v>55356</v>
      </c>
      <c r="J455" s="370">
        <f ca="1">IFERROR(__xludf.DUMMYFUNCTION("IMPORTRANGE(""https://docs.google.com/spreadsheets/d/11923uPwbBZFjjGgGUA6NLw09EwE0CqkOc4q9oUmW1yo/edit?usp=sharing"",""ตาก!J350"")"),52240)</f>
        <v>52240</v>
      </c>
      <c r="K455" s="371">
        <f ca="1">IF(I455&gt;0,J455*100/I455,0)</f>
        <v>94.370980562179355</v>
      </c>
      <c r="L455" s="372">
        <f ca="1">IFERROR(__xludf.DUMMYFUNCTION("IMPORTRANGE(""https://docs.google.com/spreadsheets/d/11923uPwbBZFjjGgGUA6NLw09EwE0CqkOc4q9oUmW1yo/edit?usp=sharing"",""ตาก!L350"")"),462178)</f>
        <v>462178</v>
      </c>
      <c r="M455" s="372"/>
      <c r="N455" s="372">
        <f ca="1">IFERROR(__xludf.DUMMYFUNCTION("IMPORTRANGE(""https://docs.google.com/spreadsheets/d/11923uPwbBZFjjGgGUA6NLw09EwE0CqkOc4q9oUmW1yo/edit?usp=sharing"",""ตาก!M350"")"),271204.25)</f>
        <v>271204.25</v>
      </c>
      <c r="O455" s="372">
        <f t="shared" ref="O455:O459" ca="1" si="116">+IF(L455&gt;0,N455*100/L455,0)</f>
        <v>58.679610453115465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IFERROR(__xludf.DUMMYFUNCTION("IMPORTRANGE(""https://docs.google.com/spreadsheets/d/11923uPwbBZFjjGgGUA6NLw09EwE0CqkOc4q9oUmW1yo/edit?usp=sharing"",""ตาก!L351"")"),0)</f>
        <v>0</v>
      </c>
      <c r="M456" s="164"/>
      <c r="N456" s="168">
        <f ca="1">IFERROR(__xludf.DUMMYFUNCTION("IMPORTRANGE(""https://docs.google.com/spreadsheets/d/11923uPwbBZFjjGgGUA6NLw09EwE0CqkOc4q9oUmW1yo/edit?usp=sharing"",""ตาก!M351"")"),0)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IFERROR(__xludf.DUMMYFUNCTION("IMPORTRANGE(""https://docs.google.com/spreadsheets/d/11923uPwbBZFjjGgGUA6NLw09EwE0CqkOc4q9oUmW1yo/edit?usp=sharing"",""ตาก!L352"")"),462178)</f>
        <v>462178</v>
      </c>
      <c r="M457" s="165"/>
      <c r="N457" s="168">
        <f ca="1">IFERROR(__xludf.DUMMYFUNCTION("IMPORTRANGE(""https://docs.google.com/spreadsheets/d/11923uPwbBZFjjGgGUA6NLw09EwE0CqkOc4q9oUmW1yo/edit?usp=sharing"",""ตาก!M352"")"),271204.25)</f>
        <v>271204.25</v>
      </c>
      <c r="O457" s="168">
        <f t="shared" ca="1" si="116"/>
        <v>58.679610453115465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IFERROR(__xludf.DUMMYFUNCTION("IMPORTRANGE(""https://docs.google.com/spreadsheets/d/11923uPwbBZFjjGgGUA6NLw09EwE0CqkOc4q9oUmW1yo/edit?usp=sharing"",""ตาก!L353"")"),0)</f>
        <v>0</v>
      </c>
      <c r="M458" s="168"/>
      <c r="N458" s="168">
        <f ca="1">IFERROR(__xludf.DUMMYFUNCTION("IMPORTRANGE(""https://docs.google.com/spreadsheets/d/11923uPwbBZFjjGgGUA6NLw09EwE0CqkOc4q9oUmW1yo/edit?usp=sharing"",""ตาก!M353"")"),0)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IFERROR(__xludf.DUMMYFUNCTION("IMPORTRANGE(""https://docs.google.com/spreadsheets/d/11923uPwbBZFjjGgGUA6NLw09EwE0CqkOc4q9oUmW1yo/edit?usp=sharing"",""ตาก!L354"")"),462178)</f>
        <v>462178</v>
      </c>
      <c r="M459" s="168"/>
      <c r="N459" s="168">
        <f ca="1">IFERROR(__xludf.DUMMYFUNCTION("IMPORTRANGE(""https://docs.google.com/spreadsheets/d/11923uPwbBZFjjGgGUA6NLw09EwE0CqkOc4q9oUmW1yo/edit?usp=sharing"",""ตาก!M354"")"),271204.25)</f>
        <v>271204.25</v>
      </c>
      <c r="O459" s="168">
        <f t="shared" ca="1" si="116"/>
        <v>58.679610453115465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IFERROR(__xludf.DUMMYFUNCTION("IMPORTRANGE(""https://docs.google.com/spreadsheets/d/11923uPwbBZFjjGgGUA6NLw09EwE0CqkOc4q9oUmW1yo/edit?usp=sharing"",""ตาก!M355"")"),0)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IFERROR(__xludf.DUMMYFUNCTION("IMPORTRANGE(""https://docs.google.com/spreadsheets/d/11923uPwbBZFjjGgGUA6NLw09EwE0CqkOc4q9oUmW1yo/edit?usp=sharing"",""ตาก!M356"")"),0)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IFERROR(__xludf.DUMMYFUNCTION("IMPORTRANGE(""https://docs.google.com/spreadsheets/d/11923uPwbBZFjjGgGUA6NLw09EwE0CqkOc4q9oUmW1yo/edit?usp=sharing"",""ตาก!M357"")"),76266)</f>
        <v>76266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IFERROR(__xludf.DUMMYFUNCTION("IMPORTRANGE(""https://docs.google.com/spreadsheets/d/11923uPwbBZFjjGgGUA6NLw09EwE0CqkOc4q9oUmW1yo/edit?usp=sharing"",""ตาก!M358"")"),194938.25)</f>
        <v>194938.25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IFERROR(__xludf.DUMMYFUNCTION("IMPORTRANGE(""https://docs.google.com/spreadsheets/d/11923uPwbBZFjjGgGUA6NLw09EwE0CqkOc4q9oUmW1yo/edit?usp=sharing"",""ตาก!I359"")"),55356)</f>
        <v>55356</v>
      </c>
      <c r="J464" s="267">
        <f ca="1">IFERROR(__xludf.DUMMYFUNCTION("IMPORTRANGE(""https://docs.google.com/spreadsheets/d/11923uPwbBZFjjGgGUA6NLw09EwE0CqkOc4q9oUmW1yo/edit?usp=sharing"",""ตาก!J359"")"),52240)</f>
        <v>52240</v>
      </c>
      <c r="K464" s="268">
        <f t="shared" ref="K464:K515" ca="1" si="117">IF(I464&gt;0,J464*100/I464,0)</f>
        <v>94.370980562179355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IFERROR(__xludf.DUMMYFUNCTION("IMPORTRANGE(""https://docs.google.com/spreadsheets/d/11923uPwbBZFjjGgGUA6NLw09EwE0CqkOc4q9oUmW1yo/edit?usp=sharing"",""ตาก!I360"")"),55356)</f>
        <v>55356</v>
      </c>
      <c r="J465" s="420">
        <f ca="1">IFERROR(__xludf.DUMMYFUNCTION("IMPORTRANGE(""https://docs.google.com/spreadsheets/d/11923uPwbBZFjjGgGUA6NLw09EwE0CqkOc4q9oUmW1yo/edit?usp=sharing"",""ตาก!J360"")"),55356)</f>
        <v>55356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IFERROR(__xludf.DUMMYFUNCTION("IMPORTRANGE(""https://docs.google.com/spreadsheets/d/11923uPwbBZFjjGgGUA6NLw09EwE0CqkOc4q9oUmW1yo/edit?usp=sharing"",""ตาก!I361"")"),4506)</f>
        <v>4506</v>
      </c>
      <c r="J466" s="420">
        <f ca="1">IFERROR(__xludf.DUMMYFUNCTION("IMPORTRANGE(""https://docs.google.com/spreadsheets/d/11923uPwbBZFjjGgGUA6NLw09EwE0CqkOc4q9oUmW1yo/edit?usp=sharing"",""ตาก!J361"")"),4506)</f>
        <v>4506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IFERROR(__xludf.DUMMYFUNCTION("IMPORTRANGE(""https://docs.google.com/spreadsheets/d/11923uPwbBZFjjGgGUA6NLw09EwE0CqkOc4q9oUmW1yo/edit?usp=sharing"",""ตาก!I362"")"),0)</f>
        <v>0</v>
      </c>
      <c r="J467" s="188">
        <f ca="1">IFERROR(__xludf.DUMMYFUNCTION("IMPORTRANGE(""https://docs.google.com/spreadsheets/d/11923uPwbBZFjjGgGUA6NLw09EwE0CqkOc4q9oUmW1yo/edit?usp=sharing"",""ตาก!J362"")"),48667)</f>
        <v>48667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IFERROR(__xludf.DUMMYFUNCTION("IMPORTRANGE(""https://docs.google.com/spreadsheets/d/11923uPwbBZFjjGgGUA6NLw09EwE0CqkOc4q9oUmW1yo/edit?usp=sharing"",""ตาก!I363"")"),0)</f>
        <v>0</v>
      </c>
      <c r="J468" s="188">
        <f ca="1">IFERROR(__xludf.DUMMYFUNCTION("IMPORTRANGE(""https://docs.google.com/spreadsheets/d/11923uPwbBZFjjGgGUA6NLw09EwE0CqkOc4q9oUmW1yo/edit?usp=sharing"",""ตาก!J363"")"),4096)</f>
        <v>4096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IFERROR(__xludf.DUMMYFUNCTION("IMPORTRANGE(""https://docs.google.com/spreadsheets/d/11923uPwbBZFjjGgGUA6NLw09EwE0CqkOc4q9oUmW1yo/edit?usp=sharing"",""ตาก!I364"")"),0)</f>
        <v>0</v>
      </c>
      <c r="J469" s="188">
        <f ca="1">IFERROR(__xludf.DUMMYFUNCTION("IMPORTRANGE(""https://docs.google.com/spreadsheets/d/11923uPwbBZFjjGgGUA6NLw09EwE0CqkOc4q9oUmW1yo/edit?usp=sharing"",""ตาก!J364"")"),4889)</f>
        <v>4889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IFERROR(__xludf.DUMMYFUNCTION("IMPORTRANGE(""https://docs.google.com/spreadsheets/d/11923uPwbBZFjjGgGUA6NLw09EwE0CqkOc4q9oUmW1yo/edit?usp=sharing"",""ตาก!I365"")"),0)</f>
        <v>0</v>
      </c>
      <c r="J470" s="188">
        <f ca="1">IFERROR(__xludf.DUMMYFUNCTION("IMPORTRANGE(""https://docs.google.com/spreadsheets/d/11923uPwbBZFjjGgGUA6NLw09EwE0CqkOc4q9oUmW1yo/edit?usp=sharing"",""ตาก!J365"")"),302)</f>
        <v>302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IFERROR(__xludf.DUMMYFUNCTION("IMPORTRANGE(""https://docs.google.com/spreadsheets/d/11923uPwbBZFjjGgGUA6NLw09EwE0CqkOc4q9oUmW1yo/edit?usp=sharing"",""ตาก!I366"")"),0)</f>
        <v>0</v>
      </c>
      <c r="J471" s="188">
        <f ca="1">IFERROR(__xludf.DUMMYFUNCTION("IMPORTRANGE(""https://docs.google.com/spreadsheets/d/11923uPwbBZFjjGgGUA6NLw09EwE0CqkOc4q9oUmW1yo/edit?usp=sharing"",""ตาก!J366"")"),1800)</f>
        <v>1800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IFERROR(__xludf.DUMMYFUNCTION("IMPORTRANGE(""https://docs.google.com/spreadsheets/d/11923uPwbBZFjjGgGUA6NLw09EwE0CqkOc4q9oUmW1yo/edit?usp=sharing"",""ตาก!I367"")"),0)</f>
        <v>0</v>
      </c>
      <c r="J472" s="188">
        <f ca="1">IFERROR(__xludf.DUMMYFUNCTION("IMPORTRANGE(""https://docs.google.com/spreadsheets/d/11923uPwbBZFjjGgGUA6NLw09EwE0CqkOc4q9oUmW1yo/edit?usp=sharing"",""ตาก!J367"")"),108)</f>
        <v>108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IFERROR(__xludf.DUMMYFUNCTION("IMPORTRANGE(""https://docs.google.com/spreadsheets/d/11923uPwbBZFjjGgGUA6NLw09EwE0CqkOc4q9oUmW1yo/edit?usp=sharing"",""ตาก!I368"")"),55356)</f>
        <v>55356</v>
      </c>
      <c r="J473" s="420">
        <f ca="1">IFERROR(__xludf.DUMMYFUNCTION("IMPORTRANGE(""https://docs.google.com/spreadsheets/d/11923uPwbBZFjjGgGUA6NLw09EwE0CqkOc4q9oUmW1yo/edit?usp=sharing"",""ตาก!J368"")"),55355.88)</f>
        <v>55355.88</v>
      </c>
      <c r="K473" s="201">
        <f t="shared" ca="1" si="117"/>
        <v>99.999783221331015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IFERROR(__xludf.DUMMYFUNCTION("IMPORTRANGE(""https://docs.google.com/spreadsheets/d/11923uPwbBZFjjGgGUA6NLw09EwE0CqkOc4q9oUmW1yo/edit?usp=sharing"",""ตาก!I369"")"),4506)</f>
        <v>4506</v>
      </c>
      <c r="J474" s="420">
        <f ca="1">IFERROR(__xludf.DUMMYFUNCTION("IMPORTRANGE(""https://docs.google.com/spreadsheets/d/11923uPwbBZFjjGgGUA6NLw09EwE0CqkOc4q9oUmW1yo/edit?usp=sharing"",""ตาก!J369"")"),4506)</f>
        <v>4506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IFERROR(__xludf.DUMMYFUNCTION("IMPORTRANGE(""https://docs.google.com/spreadsheets/d/11923uPwbBZFjjGgGUA6NLw09EwE0CqkOc4q9oUmW1yo/edit?usp=sharing"",""ตาก!I370"")"),0)</f>
        <v>0</v>
      </c>
      <c r="J475" s="188">
        <f ca="1">IFERROR(__xludf.DUMMYFUNCTION("IMPORTRANGE(""https://docs.google.com/spreadsheets/d/11923uPwbBZFjjGgGUA6NLw09EwE0CqkOc4q9oUmW1yo/edit?usp=sharing"",""ตาก!J370"")"),49469.19)</f>
        <v>49469.19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IFERROR(__xludf.DUMMYFUNCTION("IMPORTRANGE(""https://docs.google.com/spreadsheets/d/11923uPwbBZFjjGgGUA6NLw09EwE0CqkOc4q9oUmW1yo/edit?usp=sharing"",""ตาก!I371"")"),0)</f>
        <v>0</v>
      </c>
      <c r="J476" s="188">
        <f ca="1">IFERROR(__xludf.DUMMYFUNCTION("IMPORTRANGE(""https://docs.google.com/spreadsheets/d/11923uPwbBZFjjGgGUA6NLw09EwE0CqkOc4q9oUmW1yo/edit?usp=sharing"",""ตาก!J371"")"),4147)</f>
        <v>4147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IFERROR(__xludf.DUMMYFUNCTION("IMPORTRANGE(""https://docs.google.com/spreadsheets/d/11923uPwbBZFjjGgGUA6NLw09EwE0CqkOc4q9oUmW1yo/edit?usp=sharing"",""ตาก!I372"")"),0)</f>
        <v>0</v>
      </c>
      <c r="J477" s="188">
        <f ca="1">IFERROR(__xludf.DUMMYFUNCTION("IMPORTRANGE(""https://docs.google.com/spreadsheets/d/11923uPwbBZFjjGgGUA6NLw09EwE0CqkOc4q9oUmW1yo/edit?usp=sharing"",""ตาก!J372"")"),4946.69)</f>
        <v>4946.6899999999996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IFERROR(__xludf.DUMMYFUNCTION("IMPORTRANGE(""https://docs.google.com/spreadsheets/d/11923uPwbBZFjjGgGUA6NLw09EwE0CqkOc4q9oUmW1yo/edit?usp=sharing"",""ตาก!I373"")"),0)</f>
        <v>0</v>
      </c>
      <c r="J478" s="188">
        <f ca="1">IFERROR(__xludf.DUMMYFUNCTION("IMPORTRANGE(""https://docs.google.com/spreadsheets/d/11923uPwbBZFjjGgGUA6NLw09EwE0CqkOc4q9oUmW1yo/edit?usp=sharing"",""ตาก!J373"")"),292)</f>
        <v>292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IFERROR(__xludf.DUMMYFUNCTION("IMPORTRANGE(""https://docs.google.com/spreadsheets/d/11923uPwbBZFjjGgGUA6NLw09EwE0CqkOc4q9oUmW1yo/edit?usp=sharing"",""ตาก!I374"")"),0)</f>
        <v>0</v>
      </c>
      <c r="J479" s="188">
        <f ca="1">IFERROR(__xludf.DUMMYFUNCTION("IMPORTRANGE(""https://docs.google.com/spreadsheets/d/11923uPwbBZFjjGgGUA6NLw09EwE0CqkOc4q9oUmW1yo/edit?usp=sharing"",""ตาก!J374"")"),940)</f>
        <v>940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IFERROR(__xludf.DUMMYFUNCTION("IMPORTRANGE(""https://docs.google.com/spreadsheets/d/11923uPwbBZFjjGgGUA6NLw09EwE0CqkOc4q9oUmW1yo/edit?usp=sharing"",""ตาก!I375"")"),0)</f>
        <v>0</v>
      </c>
      <c r="J480" s="188">
        <f ca="1">IFERROR(__xludf.DUMMYFUNCTION("IMPORTRANGE(""https://docs.google.com/spreadsheets/d/11923uPwbBZFjjGgGUA6NLw09EwE0CqkOc4q9oUmW1yo/edit?usp=sharing"",""ตาก!J375"")"),67)</f>
        <v>67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IFERROR(__xludf.DUMMYFUNCTION("IMPORTRANGE(""https://docs.google.com/spreadsheets/d/11923uPwbBZFjjGgGUA6NLw09EwE0CqkOc4q9oUmW1yo/edit?usp=sharing"",""ตาก!I376"")"),55356)</f>
        <v>55356</v>
      </c>
      <c r="J481" s="420">
        <f ca="1">IFERROR(__xludf.DUMMYFUNCTION("IMPORTRANGE(""https://docs.google.com/spreadsheets/d/11923uPwbBZFjjGgGUA6NLw09EwE0CqkOc4q9oUmW1yo/edit?usp=sharing"",""ตาก!J376"")"),52240)</f>
        <v>52240</v>
      </c>
      <c r="K481" s="201">
        <f t="shared" ca="1" si="117"/>
        <v>94.370980562179355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IFERROR(__xludf.DUMMYFUNCTION("IMPORTRANGE(""https://docs.google.com/spreadsheets/d/11923uPwbBZFjjGgGUA6NLw09EwE0CqkOc4q9oUmW1yo/edit?usp=sharing"",""ตาก!I377"")"),4506)</f>
        <v>4506</v>
      </c>
      <c r="J482" s="420">
        <f ca="1">IFERROR(__xludf.DUMMYFUNCTION("IMPORTRANGE(""https://docs.google.com/spreadsheets/d/11923uPwbBZFjjGgGUA6NLw09EwE0CqkOc4q9oUmW1yo/edit?usp=sharing"",""ตาก!J377"")"),4308)</f>
        <v>4308</v>
      </c>
      <c r="K482" s="163">
        <f t="shared" ca="1" si="117"/>
        <v>95.605858854860188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IFERROR(__xludf.DUMMYFUNCTION("IMPORTRANGE(""https://docs.google.com/spreadsheets/d/11923uPwbBZFjjGgGUA6NLw09EwE0CqkOc4q9oUmW1yo/edit?usp=sharing"",""ตาก!I378"")"),0)</f>
        <v>0</v>
      </c>
      <c r="J483" s="188">
        <f ca="1">IFERROR(__xludf.DUMMYFUNCTION("IMPORTRANGE(""https://docs.google.com/spreadsheets/d/11923uPwbBZFjjGgGUA6NLw09EwE0CqkOc4q9oUmW1yo/edit?usp=sharing"",""ตาก!J378"")"),51329)</f>
        <v>51329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IFERROR(__xludf.DUMMYFUNCTION("IMPORTRANGE(""https://docs.google.com/spreadsheets/d/11923uPwbBZFjjGgGUA6NLw09EwE0CqkOc4q9oUmW1yo/edit?usp=sharing"",""ตาก!I379"")"),0)</f>
        <v>0</v>
      </c>
      <c r="J484" s="188">
        <f ca="1">IFERROR(__xludf.DUMMYFUNCTION("IMPORTRANGE(""https://docs.google.com/spreadsheets/d/11923uPwbBZFjjGgGUA6NLw09EwE0CqkOc4q9oUmW1yo/edit?usp=sharing"",""ตาก!J379"")"),4250)</f>
        <v>4250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IFERROR(__xludf.DUMMYFUNCTION("IMPORTRANGE(""https://docs.google.com/spreadsheets/d/11923uPwbBZFjjGgGUA6NLw09EwE0CqkOc4q9oUmW1yo/edit?usp=sharing"",""ตาก!I380"")"),0)</f>
        <v>0</v>
      </c>
      <c r="J485" s="188">
        <f ca="1">IFERROR(__xludf.DUMMYFUNCTION("IMPORTRANGE(""https://docs.google.com/spreadsheets/d/11923uPwbBZFjjGgGUA6NLw09EwE0CqkOc4q9oUmW1yo/edit?usp=sharing"",""ตาก!J380"")"),0)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IFERROR(__xludf.DUMMYFUNCTION("IMPORTRANGE(""https://docs.google.com/spreadsheets/d/11923uPwbBZFjjGgGUA6NLw09EwE0CqkOc4q9oUmW1yo/edit?usp=sharing"",""ตาก!I381"")"),0)</f>
        <v>0</v>
      </c>
      <c r="J486" s="188">
        <f ca="1">IFERROR(__xludf.DUMMYFUNCTION("IMPORTRANGE(""https://docs.google.com/spreadsheets/d/11923uPwbBZFjjGgGUA6NLw09EwE0CqkOc4q9oUmW1yo/edit?usp=sharing"",""ตาก!J381"")"),0)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IFERROR(__xludf.DUMMYFUNCTION("IMPORTRANGE(""https://docs.google.com/spreadsheets/d/11923uPwbBZFjjGgGUA6NLw09EwE0CqkOc4q9oUmW1yo/edit?usp=sharing"",""ตาก!I382"")"),0)</f>
        <v>0</v>
      </c>
      <c r="J487" s="420">
        <f ca="1">IFERROR(__xludf.DUMMYFUNCTION("IMPORTRANGE(""https://docs.google.com/spreadsheets/d/11923uPwbBZFjjGgGUA6NLw09EwE0CqkOc4q9oUmW1yo/edit?usp=sharing"",""ตาก!J382"")"),911)</f>
        <v>911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IFERROR(__xludf.DUMMYFUNCTION("IMPORTRANGE(""https://docs.google.com/spreadsheets/d/11923uPwbBZFjjGgGUA6NLw09EwE0CqkOc4q9oUmW1yo/edit?usp=sharing"",""ตาก!I383"")"),0)</f>
        <v>0</v>
      </c>
      <c r="J488" s="420">
        <f ca="1">IFERROR(__xludf.DUMMYFUNCTION("IMPORTRANGE(""https://docs.google.com/spreadsheets/d/11923uPwbBZFjjGgGUA6NLw09EwE0CqkOc4q9oUmW1yo/edit?usp=sharing"",""ตาก!J383"")"),58)</f>
        <v>58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IFERROR(__xludf.DUMMYFUNCTION("IMPORTRANGE(""https://docs.google.com/spreadsheets/d/11923uPwbBZFjjGgGUA6NLw09EwE0CqkOc4q9oUmW1yo/edit?usp=sharing"",""ตาก!I384"")"),0)</f>
        <v>0</v>
      </c>
      <c r="J489" s="188">
        <f ca="1">IFERROR(__xludf.DUMMYFUNCTION("IMPORTRANGE(""https://docs.google.com/spreadsheets/d/11923uPwbBZFjjGgGUA6NLw09EwE0CqkOc4q9oUmW1yo/edit?usp=sharing"",""ตาก!J384"")"),911)</f>
        <v>911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IFERROR(__xludf.DUMMYFUNCTION("IMPORTRANGE(""https://docs.google.com/spreadsheets/d/11923uPwbBZFjjGgGUA6NLw09EwE0CqkOc4q9oUmW1yo/edit?usp=sharing"",""ตาก!I385"")"),0)</f>
        <v>0</v>
      </c>
      <c r="J490" s="188">
        <f ca="1">IFERROR(__xludf.DUMMYFUNCTION("IMPORTRANGE(""https://docs.google.com/spreadsheets/d/11923uPwbBZFjjGgGUA6NLw09EwE0CqkOc4q9oUmW1yo/edit?usp=sharing"",""ตาก!J385"")"),58)</f>
        <v>58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IFERROR(__xludf.DUMMYFUNCTION("IMPORTRANGE(""https://docs.google.com/spreadsheets/d/11923uPwbBZFjjGgGUA6NLw09EwE0CqkOc4q9oUmW1yo/edit?usp=sharing"",""ตาก!I386"")"),0)</f>
        <v>0</v>
      </c>
      <c r="J491" s="188">
        <f ca="1">IFERROR(__xludf.DUMMYFUNCTION("IMPORTRANGE(""https://docs.google.com/spreadsheets/d/11923uPwbBZFjjGgGUA6NLw09EwE0CqkOc4q9oUmW1yo/edit?usp=sharing"",""ตาก!J386"")"),0)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IFERROR(__xludf.DUMMYFUNCTION("IMPORTRANGE(""https://docs.google.com/spreadsheets/d/11923uPwbBZFjjGgGUA6NLw09EwE0CqkOc4q9oUmW1yo/edit?usp=sharing"",""ตาก!I387"")"),0)</f>
        <v>0</v>
      </c>
      <c r="J492" s="188">
        <f ca="1">IFERROR(__xludf.DUMMYFUNCTION("IMPORTRANGE(""https://docs.google.com/spreadsheets/d/11923uPwbBZFjjGgGUA6NLw09EwE0CqkOc4q9oUmW1yo/edit?usp=sharing"",""ตาก!J387"")"),0)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IFERROR(__xludf.DUMMYFUNCTION("IMPORTRANGE(""https://docs.google.com/spreadsheets/d/11923uPwbBZFjjGgGUA6NLw09EwE0CqkOc4q9oUmW1yo/edit?usp=sharing"",""ตาก!I388"")"),0)</f>
        <v>0</v>
      </c>
      <c r="J493" s="188">
        <f ca="1">IFERROR(__xludf.DUMMYFUNCTION("IMPORTRANGE(""https://docs.google.com/spreadsheets/d/11923uPwbBZFjjGgGUA6NLw09EwE0CqkOc4q9oUmW1yo/edit?usp=sharing"",""ตาก!J388"")"),0)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IFERROR(__xludf.DUMMYFUNCTION("IMPORTRANGE(""https://docs.google.com/spreadsheets/d/11923uPwbBZFjjGgGUA6NLw09EwE0CqkOc4q9oUmW1yo/edit?usp=sharing"",""ตาก!I389"")"),0)</f>
        <v>0</v>
      </c>
      <c r="J494" s="436">
        <f ca="1">IFERROR(__xludf.DUMMYFUNCTION("IMPORTRANGE(""https://docs.google.com/spreadsheets/d/11923uPwbBZFjjGgGUA6NLw09EwE0CqkOc4q9oUmW1yo/edit?usp=sharing"",""ตาก!J389"")"),0)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IFERROR(__xludf.DUMMYFUNCTION("IMPORTRANGE(""https://docs.google.com/spreadsheets/d/11923uPwbBZFjjGgGUA6NLw09EwE0CqkOc4q9oUmW1yo/edit?usp=sharing"",""ตาก!I390"")"),0)</f>
        <v>0</v>
      </c>
      <c r="J495" s="436">
        <f ca="1">IFERROR(__xludf.DUMMYFUNCTION("IMPORTRANGE(""https://docs.google.com/spreadsheets/d/11923uPwbBZFjjGgGUA6NLw09EwE0CqkOc4q9oUmW1yo/edit?usp=sharing"",""ตาก!J390"")"),0)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IFERROR(__xludf.DUMMYFUNCTION("IMPORTRANGE(""https://docs.google.com/spreadsheets/d/11923uPwbBZFjjGgGUA6NLw09EwE0CqkOc4q9oUmW1yo/edit?usp=sharing"",""ตาก!I391"")"),0)</f>
        <v>0</v>
      </c>
      <c r="J496" s="436">
        <f ca="1">IFERROR(__xludf.DUMMYFUNCTION("IMPORTRANGE(""https://docs.google.com/spreadsheets/d/11923uPwbBZFjjGgGUA6NLw09EwE0CqkOc4q9oUmW1yo/edit?usp=sharing"",""ตาก!J391"")"),0)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IFERROR(__xludf.DUMMYFUNCTION("IMPORTRANGE(""https://docs.google.com/spreadsheets/d/11923uPwbBZFjjGgGUA6NLw09EwE0CqkOc4q9oUmW1yo/edit?usp=sharing"",""ตาก!I392"")"),156)</f>
        <v>156</v>
      </c>
      <c r="J497" s="443">
        <f ca="1">IFERROR(__xludf.DUMMYFUNCTION("IMPORTRANGE(""https://docs.google.com/spreadsheets/d/11923uPwbBZFjjGgGUA6NLw09EwE0CqkOc4q9oUmW1yo/edit?usp=sharing"",""ตาก!J392"")"),102)</f>
        <v>102</v>
      </c>
      <c r="K497" s="444">
        <f t="shared" ca="1" si="117"/>
        <v>65.384615384615387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IFERROR(__xludf.DUMMYFUNCTION("IMPORTRANGE(""https://docs.google.com/spreadsheets/d/11923uPwbBZFjjGgGUA6NLw09EwE0CqkOc4q9oUmW1yo/edit?usp=sharing"",""ตาก!I393"")"),156)</f>
        <v>156</v>
      </c>
      <c r="J498" s="420">
        <f ca="1">IFERROR(__xludf.DUMMYFUNCTION("IMPORTRANGE(""https://docs.google.com/spreadsheets/d/11923uPwbBZFjjGgGUA6NLw09EwE0CqkOc4q9oUmW1yo/edit?usp=sharing"",""ตาก!J393"")"),102)</f>
        <v>102</v>
      </c>
      <c r="K498" s="163">
        <f t="shared" ca="1" si="117"/>
        <v>65.384615384615387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IFERROR(__xludf.DUMMYFUNCTION("IMPORTRANGE(""https://docs.google.com/spreadsheets/d/11923uPwbBZFjjGgGUA6NLw09EwE0CqkOc4q9oUmW1yo/edit?usp=sharing"",""ตาก!I394"")"),28)</f>
        <v>28</v>
      </c>
      <c r="J499" s="420">
        <f ca="1">IFERROR(__xludf.DUMMYFUNCTION("IMPORTRANGE(""https://docs.google.com/spreadsheets/d/11923uPwbBZFjjGgGUA6NLw09EwE0CqkOc4q9oUmW1yo/edit?usp=sharing"",""ตาก!J394"")"),17)</f>
        <v>17</v>
      </c>
      <c r="K499" s="201">
        <f t="shared" ca="1" si="117"/>
        <v>60.714285714285715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IFERROR(__xludf.DUMMYFUNCTION("IMPORTRANGE(""https://docs.google.com/spreadsheets/d/11923uPwbBZFjjGgGUA6NLw09EwE0CqkOc4q9oUmW1yo/edit?usp=sharing"",""ตาก!I395"")"),0)</f>
        <v>0</v>
      </c>
      <c r="J500" s="162">
        <f ca="1">IFERROR(__xludf.DUMMYFUNCTION("IMPORTRANGE(""https://docs.google.com/spreadsheets/d/11923uPwbBZFjjGgGUA6NLw09EwE0CqkOc4q9oUmW1yo/edit?usp=sharing"",""ตาก!J395"")"),102)</f>
        <v>102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IFERROR(__xludf.DUMMYFUNCTION("IMPORTRANGE(""https://docs.google.com/spreadsheets/d/11923uPwbBZFjjGgGUA6NLw09EwE0CqkOc4q9oUmW1yo/edit?usp=sharing"",""ตาก!I396"")"),0)</f>
        <v>0</v>
      </c>
      <c r="J501" s="162">
        <f ca="1">IFERROR(__xludf.DUMMYFUNCTION("IMPORTRANGE(""https://docs.google.com/spreadsheets/d/11923uPwbBZFjjGgGUA6NLw09EwE0CqkOc4q9oUmW1yo/edit?usp=sharing"",""ตาก!J396"")"),17)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IFERROR(__xludf.DUMMYFUNCTION("IMPORTRANGE(""https://docs.google.com/spreadsheets/d/11923uPwbBZFjjGgGUA6NLw09EwE0CqkOc4q9oUmW1yo/edit?usp=sharing"",""ตาก!I397"")"),0)</f>
        <v>0</v>
      </c>
      <c r="J502" s="188">
        <f ca="1">IFERROR(__xludf.DUMMYFUNCTION("IMPORTRANGE(""https://docs.google.com/spreadsheets/d/11923uPwbBZFjjGgGUA6NLw09EwE0CqkOc4q9oUmW1yo/edit?usp=sharing"",""ตาก!J397"")"),102)</f>
        <v>102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IFERROR(__xludf.DUMMYFUNCTION("IMPORTRANGE(""https://docs.google.com/spreadsheets/d/11923uPwbBZFjjGgGUA6NLw09EwE0CqkOc4q9oUmW1yo/edit?usp=sharing"",""ตาก!I398"")"),0)</f>
        <v>0</v>
      </c>
      <c r="J503" s="197">
        <f ca="1">IFERROR(__xludf.DUMMYFUNCTION("IMPORTRANGE(""https://docs.google.com/spreadsheets/d/11923uPwbBZFjjGgGUA6NLw09EwE0CqkOc4q9oUmW1yo/edit?usp=sharing"",""ตาก!J398"")"),17)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IFERROR(__xludf.DUMMYFUNCTION("IMPORTRANGE(""https://docs.google.com/spreadsheets/d/11923uPwbBZFjjGgGUA6NLw09EwE0CqkOc4q9oUmW1yo/edit?usp=sharing"",""ตาก!I399"")"),0)</f>
        <v>0</v>
      </c>
      <c r="J504" s="188">
        <f ca="1">IFERROR(__xludf.DUMMYFUNCTION("IMPORTRANGE(""https://docs.google.com/spreadsheets/d/11923uPwbBZFjjGgGUA6NLw09EwE0CqkOc4q9oUmW1yo/edit?usp=sharing"",""ตาก!J399"")"),0)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IFERROR(__xludf.DUMMYFUNCTION("IMPORTRANGE(""https://docs.google.com/spreadsheets/d/11923uPwbBZFjjGgGUA6NLw09EwE0CqkOc4q9oUmW1yo/edit?usp=sharing"",""ตาก!I400"")"),0)</f>
        <v>0</v>
      </c>
      <c r="J505" s="197">
        <f ca="1">IFERROR(__xludf.DUMMYFUNCTION("IMPORTRANGE(""https://docs.google.com/spreadsheets/d/11923uPwbBZFjjGgGUA6NLw09EwE0CqkOc4q9oUmW1yo/edit?usp=sharing"",""ตาก!J400"")"),0)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IFERROR(__xludf.DUMMYFUNCTION("IMPORTRANGE(""https://docs.google.com/spreadsheets/d/11923uPwbBZFjjGgGUA6NLw09EwE0CqkOc4q9oUmW1yo/edit?usp=sharing"",""ตาก!I401"")"),0)</f>
        <v>0</v>
      </c>
      <c r="J506" s="188">
        <f ca="1">IFERROR(__xludf.DUMMYFUNCTION("IMPORTRANGE(""https://docs.google.com/spreadsheets/d/11923uPwbBZFjjGgGUA6NLw09EwE0CqkOc4q9oUmW1yo/edit?usp=sharing"",""ตาก!J401"")"),0)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IFERROR(__xludf.DUMMYFUNCTION("IMPORTRANGE(""https://docs.google.com/spreadsheets/d/11923uPwbBZFjjGgGUA6NLw09EwE0CqkOc4q9oUmW1yo/edit?usp=sharing"",""ตาก!I402"")"),0)</f>
        <v>0</v>
      </c>
      <c r="J507" s="197">
        <f ca="1">IFERROR(__xludf.DUMMYFUNCTION("IMPORTRANGE(""https://docs.google.com/spreadsheets/d/11923uPwbBZFjjGgGUA6NLw09EwE0CqkOc4q9oUmW1yo/edit?usp=sharing"",""ตาก!J402"")"),0)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IFERROR(__xludf.DUMMYFUNCTION("IMPORTRANGE(""https://docs.google.com/spreadsheets/d/11923uPwbBZFjjGgGUA6NLw09EwE0CqkOc4q9oUmW1yo/edit?usp=sharing"",""ตาก!I403"")"),0)</f>
        <v>0</v>
      </c>
      <c r="J508" s="162">
        <f ca="1">IFERROR(__xludf.DUMMYFUNCTION("IMPORTRANGE(""https://docs.google.com/spreadsheets/d/11923uPwbBZFjjGgGUA6NLw09EwE0CqkOc4q9oUmW1yo/edit?usp=sharing"",""ตาก!J403"")"),0)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IFERROR(__xludf.DUMMYFUNCTION("IMPORTRANGE(""https://docs.google.com/spreadsheets/d/11923uPwbBZFjjGgGUA6NLw09EwE0CqkOc4q9oUmW1yo/edit?usp=sharing"",""ตาก!I404"")"),0)</f>
        <v>0</v>
      </c>
      <c r="J509" s="162">
        <f ca="1">IFERROR(__xludf.DUMMYFUNCTION("IMPORTRANGE(""https://docs.google.com/spreadsheets/d/11923uPwbBZFjjGgGUA6NLw09EwE0CqkOc4q9oUmW1yo/edit?usp=sharing"",""ตาก!J404"")"),0)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IFERROR(__xludf.DUMMYFUNCTION("IMPORTRANGE(""https://docs.google.com/spreadsheets/d/11923uPwbBZFjjGgGUA6NLw09EwE0CqkOc4q9oUmW1yo/edit?usp=sharing"",""ตาก!I405"")"),0)</f>
        <v>0</v>
      </c>
      <c r="J510" s="197">
        <f ca="1">IFERROR(__xludf.DUMMYFUNCTION("IMPORTRANGE(""https://docs.google.com/spreadsheets/d/11923uPwbBZFjjGgGUA6NLw09EwE0CqkOc4q9oUmW1yo/edit?usp=sharing"",""ตาก!J405"")"),0)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IFERROR(__xludf.DUMMYFUNCTION("IMPORTRANGE(""https://docs.google.com/spreadsheets/d/11923uPwbBZFjjGgGUA6NLw09EwE0CqkOc4q9oUmW1yo/edit?usp=sharing"",""ตาก!I406"")"),0)</f>
        <v>0</v>
      </c>
      <c r="J511" s="197">
        <f ca="1">IFERROR(__xludf.DUMMYFUNCTION("IMPORTRANGE(""https://docs.google.com/spreadsheets/d/11923uPwbBZFjjGgGUA6NLw09EwE0CqkOc4q9oUmW1yo/edit?usp=sharing"",""ตาก!J406"")"),0)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IFERROR(__xludf.DUMMYFUNCTION("IMPORTRANGE(""https://docs.google.com/spreadsheets/d/11923uPwbBZFjjGgGUA6NLw09EwE0CqkOc4q9oUmW1yo/edit?usp=sharing"",""ตาก!I407"")"),0)</f>
        <v>0</v>
      </c>
      <c r="J512" s="197">
        <f ca="1">IFERROR(__xludf.DUMMYFUNCTION("IMPORTRANGE(""https://docs.google.com/spreadsheets/d/11923uPwbBZFjjGgGUA6NLw09EwE0CqkOc4q9oUmW1yo/edit?usp=sharing"",""ตาก!J407"")"),0)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IFERROR(__xludf.DUMMYFUNCTION("IMPORTRANGE(""https://docs.google.com/spreadsheets/d/11923uPwbBZFjjGgGUA6NLw09EwE0CqkOc4q9oUmW1yo/edit?usp=sharing"",""ตาก!I408"")"),0)</f>
        <v>0</v>
      </c>
      <c r="J513" s="197">
        <f ca="1">IFERROR(__xludf.DUMMYFUNCTION("IMPORTRANGE(""https://docs.google.com/spreadsheets/d/11923uPwbBZFjjGgGUA6NLw09EwE0CqkOc4q9oUmW1yo/edit?usp=sharing"",""ตาก!J408"")"),0)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IFERROR(__xludf.DUMMYFUNCTION("IMPORTRANGE(""https://docs.google.com/spreadsheets/d/11923uPwbBZFjjGgGUA6NLw09EwE0CqkOc4q9oUmW1yo/edit?usp=sharing"",""ตาก!I409"")"),0)</f>
        <v>0</v>
      </c>
      <c r="J514" s="197">
        <f ca="1">IFERROR(__xludf.DUMMYFUNCTION("IMPORTRANGE(""https://docs.google.com/spreadsheets/d/11923uPwbBZFjjGgGUA6NLw09EwE0CqkOc4q9oUmW1yo/edit?usp=sharing"",""ตาก!J409"")"),0)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IFERROR(__xludf.DUMMYFUNCTION("IMPORTRANGE(""https://docs.google.com/spreadsheets/d/11923uPwbBZFjjGgGUA6NLw09EwE0CqkOc4q9oUmW1yo/edit?usp=sharing"",""ตาก!I410"")"),0)</f>
        <v>0</v>
      </c>
      <c r="J515" s="197">
        <f ca="1">IFERROR(__xludf.DUMMYFUNCTION("IMPORTRANGE(""https://docs.google.com/spreadsheets/d/11923uPwbBZFjjGgGUA6NLw09EwE0CqkOc4q9oUmW1yo/edit?usp=sharing"",""ตาก!J410"")"),0)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IFERROR(__xludf.DUMMYFUNCTION("IMPORTRANGE(""https://docs.google.com/spreadsheets/d/11923uPwbBZFjjGgGUA6NLw09EwE0CqkOc4q9oUmW1yo/edit?usp=sharing"",""ตาก!I411"")"),0)</f>
        <v>0</v>
      </c>
      <c r="J516" s="267">
        <f ca="1">IFERROR(__xludf.DUMMYFUNCTION("IMPORTRANGE(""https://docs.google.com/spreadsheets/d/11923uPwbBZFjjGgGUA6NLw09EwE0CqkOc4q9oUmW1yo/edit?usp=sharing"",""ตาก!J411"")"),0)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IFERROR(__xludf.DUMMYFUNCTION("IMPORTRANGE(""https://docs.google.com/spreadsheets/d/11923uPwbBZFjjGgGUA6NLw09EwE0CqkOc4q9oUmW1yo/edit?usp=sharing"",""ตาก!I412"")"),0)</f>
        <v>0</v>
      </c>
      <c r="J517" s="284">
        <f ca="1">IFERROR(__xludf.DUMMYFUNCTION("IMPORTRANGE(""https://docs.google.com/spreadsheets/d/11923uPwbBZFjjGgGUA6NLw09EwE0CqkOc4q9oUmW1yo/edit?usp=sharing"",""ตาก!J412"")"),0)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IFERROR(__xludf.DUMMYFUNCTION("IMPORTRANGE(""https://docs.google.com/spreadsheets/d/11923uPwbBZFjjGgGUA6NLw09EwE0CqkOc4q9oUmW1yo/edit?usp=sharing"",""ตาก!I413"")"),0)</f>
        <v>0</v>
      </c>
      <c r="J518" s="284">
        <f ca="1">IFERROR(__xludf.DUMMYFUNCTION("IMPORTRANGE(""https://docs.google.com/spreadsheets/d/11923uPwbBZFjjGgGUA6NLw09EwE0CqkOc4q9oUmW1yo/edit?usp=sharing"",""ตาก!J413"")"),0)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IFERROR(__xludf.DUMMYFUNCTION("IMPORTRANGE(""https://docs.google.com/spreadsheets/d/11923uPwbBZFjjGgGUA6NLw09EwE0CqkOc4q9oUmW1yo/edit?usp=sharing"",""ตาก!I414"")"),0)</f>
        <v>0</v>
      </c>
      <c r="J519" s="187">
        <f ca="1">IFERROR(__xludf.DUMMYFUNCTION("IMPORTRANGE(""https://docs.google.com/spreadsheets/d/11923uPwbBZFjjGgGUA6NLw09EwE0CqkOc4q9oUmW1yo/edit?usp=sharing"",""ตาก!J414"")"),0)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IFERROR(__xludf.DUMMYFUNCTION("IMPORTRANGE(""https://docs.google.com/spreadsheets/d/11923uPwbBZFjjGgGUA6NLw09EwE0CqkOc4q9oUmW1yo/edit?usp=sharing"",""ตาก!I415"")"),0)</f>
        <v>0</v>
      </c>
      <c r="J520" s="187">
        <f ca="1">IFERROR(__xludf.DUMMYFUNCTION("IMPORTRANGE(""https://docs.google.com/spreadsheets/d/11923uPwbBZFjjGgGUA6NLw09EwE0CqkOc4q9oUmW1yo/edit?usp=sharing"",""ตาก!J415"")"),0)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IFERROR(__xludf.DUMMYFUNCTION("IMPORTRANGE(""https://docs.google.com/spreadsheets/d/11923uPwbBZFjjGgGUA6NLw09EwE0CqkOc4q9oUmW1yo/edit?usp=sharing"",""ตาก!I416"")"),0)</f>
        <v>0</v>
      </c>
      <c r="J521" s="187">
        <f ca="1">IFERROR(__xludf.DUMMYFUNCTION("IMPORTRANGE(""https://docs.google.com/spreadsheets/d/11923uPwbBZFjjGgGUA6NLw09EwE0CqkOc4q9oUmW1yo/edit?usp=sharing"",""ตาก!J416"")"),0)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IFERROR(__xludf.DUMMYFUNCTION("IMPORTRANGE(""https://docs.google.com/spreadsheets/d/11923uPwbBZFjjGgGUA6NLw09EwE0CqkOc4q9oUmW1yo/edit?usp=sharing"",""ตาก!I417"")"),0)</f>
        <v>0</v>
      </c>
      <c r="J522" s="187">
        <f ca="1">IFERROR(__xludf.DUMMYFUNCTION("IMPORTRANGE(""https://docs.google.com/spreadsheets/d/11923uPwbBZFjjGgGUA6NLw09EwE0CqkOc4q9oUmW1yo/edit?usp=sharing"",""ตาก!J417"")"),0)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IFERROR(__xludf.DUMMYFUNCTION("IMPORTRANGE(""https://docs.google.com/spreadsheets/d/11923uPwbBZFjjGgGUA6NLw09EwE0CqkOc4q9oUmW1yo/edit?usp=sharing"",""ตาก!I418"")"),0)</f>
        <v>0</v>
      </c>
      <c r="J523" s="187">
        <f ca="1">IFERROR(__xludf.DUMMYFUNCTION("IMPORTRANGE(""https://docs.google.com/spreadsheets/d/11923uPwbBZFjjGgGUA6NLw09EwE0CqkOc4q9oUmW1yo/edit?usp=sharing"",""ตาก!J418"")"),112)</f>
        <v>112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IFERROR(__xludf.DUMMYFUNCTION("IMPORTRANGE(""https://docs.google.com/spreadsheets/d/11923uPwbBZFjjGgGUA6NLw09EwE0CqkOc4q9oUmW1yo/edit?usp=sharing"",""ตาก!I419"")"),0)</f>
        <v>0</v>
      </c>
      <c r="J524" s="187">
        <f ca="1">IFERROR(__xludf.DUMMYFUNCTION("IMPORTRANGE(""https://docs.google.com/spreadsheets/d/11923uPwbBZFjjGgGUA6NLw09EwE0CqkOc4q9oUmW1yo/edit?usp=sharing"",""ตาก!J419"")"),3)</f>
        <v>3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IFERROR(__xludf.DUMMYFUNCTION("IMPORTRANGE(""https://docs.google.com/spreadsheets/d/11923uPwbBZFjjGgGUA6NLw09EwE0CqkOc4q9oUmW1yo/edit?usp=sharing"",""ตาก!I420"")"),112)</f>
        <v>112</v>
      </c>
      <c r="J525" s="284">
        <f ca="1">IFERROR(__xludf.DUMMYFUNCTION("IMPORTRANGE(""https://docs.google.com/spreadsheets/d/11923uPwbBZFjjGgGUA6NLw09EwE0CqkOc4q9oUmW1yo/edit?usp=sharing"",""ตาก!J420"")"),112)</f>
        <v>112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IFERROR(__xludf.DUMMYFUNCTION("IMPORTRANGE(""https://docs.google.com/spreadsheets/d/11923uPwbBZFjjGgGUA6NLw09EwE0CqkOc4q9oUmW1yo/edit?usp=sharing"",""ตาก!I421"")"),3)</f>
        <v>3</v>
      </c>
      <c r="J526" s="284">
        <f ca="1">IFERROR(__xludf.DUMMYFUNCTION("IMPORTRANGE(""https://docs.google.com/spreadsheets/d/11923uPwbBZFjjGgGUA6NLw09EwE0CqkOc4q9oUmW1yo/edit?usp=sharing"",""ตาก!J421"")"),3)</f>
        <v>3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IFERROR(__xludf.DUMMYFUNCTION("IMPORTRANGE(""https://docs.google.com/spreadsheets/d/11923uPwbBZFjjGgGUA6NLw09EwE0CqkOc4q9oUmW1yo/edit?usp=sharing"",""ตาก!I422"")"),0)</f>
        <v>0</v>
      </c>
      <c r="J527" s="197">
        <f ca="1">IFERROR(__xludf.DUMMYFUNCTION("IMPORTRANGE(""https://docs.google.com/spreadsheets/d/11923uPwbBZFjjGgGUA6NLw09EwE0CqkOc4q9oUmW1yo/edit?usp=sharing"",""ตาก!J422"")"),0)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IFERROR(__xludf.DUMMYFUNCTION("IMPORTRANGE(""https://docs.google.com/spreadsheets/d/11923uPwbBZFjjGgGUA6NLw09EwE0CqkOc4q9oUmW1yo/edit?usp=sharing"",""ตาก!I423"")"),0)</f>
        <v>0</v>
      </c>
      <c r="J528" s="197">
        <f ca="1">IFERROR(__xludf.DUMMYFUNCTION("IMPORTRANGE(""https://docs.google.com/spreadsheets/d/11923uPwbBZFjjGgGUA6NLw09EwE0CqkOc4q9oUmW1yo/edit?usp=sharing"",""ตาก!J423"")"),0)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IFERROR(__xludf.DUMMYFUNCTION("IMPORTRANGE(""https://docs.google.com/spreadsheets/d/11923uPwbBZFjjGgGUA6NLw09EwE0CqkOc4q9oUmW1yo/edit?usp=sharing"",""ตาก!I424"")"),0)</f>
        <v>0</v>
      </c>
      <c r="J529" s="197">
        <f ca="1">IFERROR(__xludf.DUMMYFUNCTION("IMPORTRANGE(""https://docs.google.com/spreadsheets/d/11923uPwbBZFjjGgGUA6NLw09EwE0CqkOc4q9oUmW1yo/edit?usp=sharing"",""ตาก!J424"")"),112)</f>
        <v>112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IFERROR(__xludf.DUMMYFUNCTION("IMPORTRANGE(""https://docs.google.com/spreadsheets/d/11923uPwbBZFjjGgGUA6NLw09EwE0CqkOc4q9oUmW1yo/edit?usp=sharing"",""ตาก!I425"")"),0)</f>
        <v>0</v>
      </c>
      <c r="J530" s="197">
        <f ca="1">IFERROR(__xludf.DUMMYFUNCTION("IMPORTRANGE(""https://docs.google.com/spreadsheets/d/11923uPwbBZFjjGgGUA6NLw09EwE0CqkOc4q9oUmW1yo/edit?usp=sharing"",""ตาก!J425"")"),3)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IFERROR(__xludf.DUMMYFUNCTION("IMPORTRANGE(""https://docs.google.com/spreadsheets/d/11923uPwbBZFjjGgGUA6NLw09EwE0CqkOc4q9oUmW1yo/edit?usp=sharing"",""ตาก!I426"")"),0)</f>
        <v>0</v>
      </c>
      <c r="J531" s="197">
        <f ca="1">IFERROR(__xludf.DUMMYFUNCTION("IMPORTRANGE(""https://docs.google.com/spreadsheets/d/11923uPwbBZFjjGgGUA6NLw09EwE0CqkOc4q9oUmW1yo/edit?usp=sharing"",""ตาก!J426"")"),0)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IFERROR(__xludf.DUMMYFUNCTION("IMPORTRANGE(""https://docs.google.com/spreadsheets/d/11923uPwbBZFjjGgGUA6NLw09EwE0CqkOc4q9oUmW1yo/edit?usp=sharing"",""ตาก!I427"")"),0)</f>
        <v>0</v>
      </c>
      <c r="J532" s="466">
        <f ca="1">IFERROR(__xludf.DUMMYFUNCTION("IMPORTRANGE(""https://docs.google.com/spreadsheets/d/11923uPwbBZFjjGgGUA6NLw09EwE0CqkOc4q9oUmW1yo/edit?usp=sharing"",""ตาก!J427"")"),0)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IFERROR(__xludf.DUMMYFUNCTION("IMPORTRANGE(""https://docs.google.com/spreadsheets/d/11923uPwbBZFjjGgGUA6NLw09EwE0CqkOc4q9oUmW1yo/edit?usp=sharing"",""ตาก!I428"")"),22)</f>
        <v>22</v>
      </c>
      <c r="J533" s="409">
        <f ca="1">IFERROR(__xludf.DUMMYFUNCTION("IMPORTRANGE(""https://docs.google.com/spreadsheets/d/11923uPwbBZFjjGgGUA6NLw09EwE0CqkOc4q9oUmW1yo/edit?usp=sharing"",""ตาก!J428"")"),22)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IFERROR(__xludf.DUMMYFUNCTION("IMPORTRANGE(""https://docs.google.com/spreadsheets/d/11923uPwbBZFjjGgGUA6NLw09EwE0CqkOc4q9oUmW1yo/edit?usp=sharing"",""ตาก!L428"")"),34340)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IFERROR(__xludf.DUMMYFUNCTION("IMPORTRANGE(""https://docs.google.com/spreadsheets/d/11923uPwbBZFjjGgGUA6NLw09EwE0CqkOc4q9oUmW1yo/edit?usp=sharing"",""ตาก!M428"")"),30130)</f>
        <v>30130</v>
      </c>
      <c r="O533" s="411">
        <f t="shared" ref="O533:O537" ca="1" si="118">+IF(L533&gt;0,N533*100/L533,0)</f>
        <v>87.740244612696557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IFERROR(__xludf.DUMMYFUNCTION("IMPORTRANGE(""https://docs.google.com/spreadsheets/d/11923uPwbBZFjjGgGUA6NLw09EwE0CqkOc4q9oUmW1yo/edit?usp=sharing"",""ตาก!L429"")"),0)</f>
        <v>0</v>
      </c>
      <c r="M534" s="164"/>
      <c r="N534" s="168">
        <f ca="1">IFERROR(__xludf.DUMMYFUNCTION("IMPORTRANGE(""https://docs.google.com/spreadsheets/d/11923uPwbBZFjjGgGUA6NLw09EwE0CqkOc4q9oUmW1yo/edit?usp=sharing"",""ตาก!M429"")"),0)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IFERROR(__xludf.DUMMYFUNCTION("IMPORTRANGE(""https://docs.google.com/spreadsheets/d/11923uPwbBZFjjGgGUA6NLw09EwE0CqkOc4q9oUmW1yo/edit?usp=sharing"",""ตาก!L430"")"),34340)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IFERROR(__xludf.DUMMYFUNCTION("IMPORTRANGE(""https://docs.google.com/spreadsheets/d/11923uPwbBZFjjGgGUA6NLw09EwE0CqkOc4q9oUmW1yo/edit?usp=sharing"",""ตาก!M430"")"),30130)</f>
        <v>30130</v>
      </c>
      <c r="O535" s="168">
        <f t="shared" ca="1" si="118"/>
        <v>87.740244612696557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IFERROR(__xludf.DUMMYFUNCTION("IMPORTRANGE(""https://docs.google.com/spreadsheets/d/11923uPwbBZFjjGgGUA6NLw09EwE0CqkOc4q9oUmW1yo/edit?usp=sharing"",""ตาก!L431"")"),0)</f>
        <v>0</v>
      </c>
      <c r="M536" s="168"/>
      <c r="N536" s="168">
        <f ca="1">IFERROR(__xludf.DUMMYFUNCTION("IMPORTRANGE(""https://docs.google.com/spreadsheets/d/11923uPwbBZFjjGgGUA6NLw09EwE0CqkOc4q9oUmW1yo/edit?usp=sharing"",""ตาก!M431"")"),0)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IFERROR(__xludf.DUMMYFUNCTION("IMPORTRANGE(""https://docs.google.com/spreadsheets/d/11923uPwbBZFjjGgGUA6NLw09EwE0CqkOc4q9oUmW1yo/edit?usp=sharing"",""ตาก!L432"")"),34340)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IFERROR(__xludf.DUMMYFUNCTION("IMPORTRANGE(""https://docs.google.com/spreadsheets/d/11923uPwbBZFjjGgGUA6NLw09EwE0CqkOc4q9oUmW1yo/edit?usp=sharing"",""ตาก!M432"")"),30130)</f>
        <v>30130</v>
      </c>
      <c r="O537" s="168">
        <f t="shared" ca="1" si="118"/>
        <v>87.740244612696557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IFERROR(__xludf.DUMMYFUNCTION("IMPORTRANGE(""https://docs.google.com/spreadsheets/d/11923uPwbBZFjjGgGUA6NLw09EwE0CqkOc4q9oUmW1yo/edit?usp=sharing"",""ตาก!M433"")"),18740)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IFERROR(__xludf.DUMMYFUNCTION("IMPORTRANGE(""https://docs.google.com/spreadsheets/d/11923uPwbBZFjjGgGUA6NLw09EwE0CqkOc4q9oUmW1yo/edit?usp=sharing"",""ตาก!M434"")"),0)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IFERROR(__xludf.DUMMYFUNCTION("IMPORTRANGE(""https://docs.google.com/spreadsheets/d/11923uPwbBZFjjGgGUA6NLw09EwE0CqkOc4q9oUmW1yo/edit?usp=sharing"",""ตาก!M435"")"),0)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IFERROR(__xludf.DUMMYFUNCTION("IMPORTRANGE(""https://docs.google.com/spreadsheets/d/11923uPwbBZFjjGgGUA6NLw09EwE0CqkOc4q9oUmW1yo/edit?usp=sharing"",""ตาก!M436"")"),11390)</f>
        <v>11390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IFERROR(__xludf.DUMMYFUNCTION("IMPORTRANGE(""https://docs.google.com/spreadsheets/d/11923uPwbBZFjjGgGUA6NLw09EwE0CqkOc4q9oUmW1yo/edit?usp=sharing"",""ตาก!J438"")"),0)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IFERROR(__xludf.DUMMYFUNCTION("IMPORTRANGE(""https://docs.google.com/spreadsheets/d/11923uPwbBZFjjGgGUA6NLw09EwE0CqkOc4q9oUmW1yo/edit?usp=sharing"",""ตาก!J439"")"),1)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IFERROR(__xludf.DUMMYFUNCTION("IMPORTRANGE(""https://docs.google.com/spreadsheets/d/11923uPwbBZFjjGgGUA6NLw09EwE0CqkOc4q9oUmW1yo/edit?usp=sharing"",""ตาก!J440"")"),1)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IFERROR(__xludf.DUMMYFUNCTION("IMPORTRANGE(""https://docs.google.com/spreadsheets/d/11923uPwbBZFjjGgGUA6NLw09EwE0CqkOc4q9oUmW1yo/edit?usp=sharing"",""ตาก!J441"")"),1)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IFERROR(__xludf.DUMMYFUNCTION("IMPORTRANGE(""https://docs.google.com/spreadsheets/d/11923uPwbBZFjjGgGUA6NLw09EwE0CqkOc4q9oUmW1yo/edit?usp=sharing"",""ตาก!I442"")"),22)</f>
        <v>22</v>
      </c>
      <c r="J547" s="188">
        <f ca="1">IFERROR(__xludf.DUMMYFUNCTION("IMPORTRANGE(""https://docs.google.com/spreadsheets/d/11923uPwbBZFjjGgGUA6NLw09EwE0CqkOc4q9oUmW1yo/edit?usp=sharing"",""ตาก!J442"")"),22)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IFERROR(__xludf.DUMMYFUNCTION("IMPORTRANGE(""https://docs.google.com/spreadsheets/d/11923uPwbBZFjjGgGUA6NLw09EwE0CqkOc4q9oUmW1yo/edit?usp=sharing"",""ตาก!J166"")"),0)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IFERROR(__xludf.DUMMYFUNCTION("IMPORTRANGE(""https://docs.google.com/spreadsheets/d/11923uPwbBZFjjGgGUA6NLw09EwE0CqkOc4q9oUmW1yo/edit?usp=sharing"",""ตาก!J444"")"),0)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IFERROR(__xludf.DUMMYFUNCTION("IMPORTRANGE(""https://docs.google.com/spreadsheets/d/11923uPwbBZFjjGgGUA6NLw09EwE0CqkOc4q9oUmW1yo/edit?usp=sharing"",""ตาก!J445"")"),0)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IFERROR(__xludf.DUMMYFUNCTION("IMPORTRANGE(""https://docs.google.com/spreadsheets/d/11923uPwbBZFjjGgGUA6NLw09EwE0CqkOc4q9oUmW1yo/edit?usp=sharing"",""ตาก!I446"")"),0)</f>
        <v>0</v>
      </c>
      <c r="J551" s="409">
        <f ca="1">IFERROR(__xludf.DUMMYFUNCTION("IMPORTRANGE(""https://docs.google.com/spreadsheets/d/11923uPwbBZFjjGgGUA6NLw09EwE0CqkOc4q9oUmW1yo/edit?usp=sharing"",""ตาก!J446"")"),0)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IFERROR(__xludf.DUMMYFUNCTION("IMPORTRANGE(""https://docs.google.com/spreadsheets/d/11923uPwbBZFjjGgGUA6NLw09EwE0CqkOc4q9oUmW1yo/edit?usp=sharing"",""ตาก!L446"")"),0)</f>
        <v>0</v>
      </c>
      <c r="M551" s="411"/>
      <c r="N551" s="411">
        <f ca="1">IFERROR(__xludf.DUMMYFUNCTION("IMPORTRANGE(""https://docs.google.com/spreadsheets/d/11923uPwbBZFjjGgGUA6NLw09EwE0CqkOc4q9oUmW1yo/edit?usp=sharing"",""ตาก!M446"")"),0)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IFERROR(__xludf.DUMMYFUNCTION("IMPORTRANGE(""https://docs.google.com/spreadsheets/d/11923uPwbBZFjjGgGUA6NLw09EwE0CqkOc4q9oUmW1yo/edit?usp=sharing"",""ตาก!L447"")"),0)</f>
        <v>0</v>
      </c>
      <c r="M552" s="164"/>
      <c r="N552" s="168">
        <f ca="1">IFERROR(__xludf.DUMMYFUNCTION("IMPORTRANGE(""https://docs.google.com/spreadsheets/d/11923uPwbBZFjjGgGUA6NLw09EwE0CqkOc4q9oUmW1yo/edit?usp=sharing"",""ตาก!M447"")"),0)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IFERROR(__xludf.DUMMYFUNCTION("IMPORTRANGE(""https://docs.google.com/spreadsheets/d/11923uPwbBZFjjGgGUA6NLw09EwE0CqkOc4q9oUmW1yo/edit?usp=sharing"",""ตาก!L448"")"),0)</f>
        <v>0</v>
      </c>
      <c r="M553" s="165"/>
      <c r="N553" s="168">
        <f ca="1">IFERROR(__xludf.DUMMYFUNCTION("IMPORTRANGE(""https://docs.google.com/spreadsheets/d/11923uPwbBZFjjGgGUA6NLw09EwE0CqkOc4q9oUmW1yo/edit?usp=sharing"",""ตาก!M448"")"),0)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IFERROR(__xludf.DUMMYFUNCTION("IMPORTRANGE(""https://docs.google.com/spreadsheets/d/11923uPwbBZFjjGgGUA6NLw09EwE0CqkOc4q9oUmW1yo/edit?usp=sharing"",""ตาก!L449"")"),0)</f>
        <v>0</v>
      </c>
      <c r="M554" s="168"/>
      <c r="N554" s="168">
        <f ca="1">IFERROR(__xludf.DUMMYFUNCTION("IMPORTRANGE(""https://docs.google.com/spreadsheets/d/11923uPwbBZFjjGgGUA6NLw09EwE0CqkOc4q9oUmW1yo/edit?usp=sharing"",""ตาก!M449"")"),0)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IFERROR(__xludf.DUMMYFUNCTION("IMPORTRANGE(""https://docs.google.com/spreadsheets/d/11923uPwbBZFjjGgGUA6NLw09EwE0CqkOc4q9oUmW1yo/edit?usp=sharing"",""ตาก!L450"")"),0)</f>
        <v>0</v>
      </c>
      <c r="M555" s="168"/>
      <c r="N555" s="168">
        <f ca="1">IFERROR(__xludf.DUMMYFUNCTION("IMPORTRANGE(""https://docs.google.com/spreadsheets/d/11923uPwbBZFjjGgGUA6NLw09EwE0CqkOc4q9oUmW1yo/edit?usp=sharing"",""ตาก!M450"")"),0)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IFERROR(__xludf.DUMMYFUNCTION("IMPORTRANGE(""https://docs.google.com/spreadsheets/d/11923uPwbBZFjjGgGUA6NLw09EwE0CqkOc4q9oUmW1yo/edit?usp=sharing"",""ตาก!M451"")"),0)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IFERROR(__xludf.DUMMYFUNCTION("IMPORTRANGE(""https://docs.google.com/spreadsheets/d/11923uPwbBZFjjGgGUA6NLw09EwE0CqkOc4q9oUmW1yo/edit?usp=sharing"",""ตาก!M452"")"),0)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IFERROR(__xludf.DUMMYFUNCTION("IMPORTRANGE(""https://docs.google.com/spreadsheets/d/11923uPwbBZFjjGgGUA6NLw09EwE0CqkOc4q9oUmW1yo/edit?usp=sharing"",""ตาก!M453"")"),0)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IFERROR(__xludf.DUMMYFUNCTION("IMPORTRANGE(""https://docs.google.com/spreadsheets/d/11923uPwbBZFjjGgGUA6NLw09EwE0CqkOc4q9oUmW1yo/edit?usp=sharing"",""ตาก!M454"")"),0)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IFERROR(__xludf.DUMMYFUNCTION("IMPORTRANGE(""https://docs.google.com/spreadsheets/d/11923uPwbBZFjjGgGUA6NLw09EwE0CqkOc4q9oUmW1yo/edit?usp=sharing"",""ตาก!I455"")"),0)</f>
        <v>0</v>
      </c>
      <c r="J560" s="162">
        <f ca="1">IFERROR(__xludf.DUMMYFUNCTION("IMPORTRANGE(""https://docs.google.com/spreadsheets/d/11923uPwbBZFjjGgGUA6NLw09EwE0CqkOc4q9oUmW1yo/edit?usp=sharing"",""ตาก!J455"")"),0)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IFERROR(__xludf.DUMMYFUNCTION("IMPORTRANGE(""https://docs.google.com/spreadsheets/d/11923uPwbBZFjjGgGUA6NLw09EwE0CqkOc4q9oUmW1yo/edit?usp=sharing"",""ตาก!I456"")"),0)</f>
        <v>0</v>
      </c>
      <c r="J561" s="203">
        <f ca="1">IFERROR(__xludf.DUMMYFUNCTION("IMPORTRANGE(""https://docs.google.com/spreadsheets/d/11923uPwbBZFjjGgGUA6NLw09EwE0CqkOc4q9oUmW1yo/edit?usp=sharing"",""ตาก!J456"")"),0)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IFERROR(__xludf.DUMMYFUNCTION("IMPORTRANGE(""https://docs.google.com/spreadsheets/d/11923uPwbBZFjjGgGUA6NLw09EwE0CqkOc4q9oUmW1yo/edit?usp=sharing"",""ตาก!I459"")"),1300)</f>
        <v>1300</v>
      </c>
      <c r="J564" s="370">
        <f ca="1">IFERROR(__xludf.DUMMYFUNCTION("IMPORTRANGE(""https://docs.google.com/spreadsheets/d/11923uPwbBZFjjGgGUA6NLw09EwE0CqkOc4q9oUmW1yo/edit?usp=sharing"",""ตาก!J459"")"),1391)</f>
        <v>1391</v>
      </c>
      <c r="K564" s="371">
        <f ca="1">IF(I564&gt;0,J564*100/I564,0)</f>
        <v>107</v>
      </c>
      <c r="L564" s="372">
        <f ca="1">IFERROR(__xludf.DUMMYFUNCTION("IMPORTRANGE(""https://docs.google.com/spreadsheets/d/11923uPwbBZFjjGgGUA6NLw09EwE0CqkOc4q9oUmW1yo/edit?usp=sharing"",""ตาก!L459"")"),128080)</f>
        <v>128080</v>
      </c>
      <c r="M564" s="372"/>
      <c r="N564" s="372">
        <f ca="1">IFERROR(__xludf.DUMMYFUNCTION("IMPORTRANGE(""https://docs.google.com/spreadsheets/d/11923uPwbBZFjjGgGUA6NLw09EwE0CqkOc4q9oUmW1yo/edit?usp=sharing"",""ตาก!M459"")"),82595)</f>
        <v>82595</v>
      </c>
      <c r="O564" s="372">
        <f t="shared" ref="O564:O568" ca="1" si="122">+IF(L564&gt;0,N564*100/L564,0)</f>
        <v>64.487039350405993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IFERROR(__xludf.DUMMYFUNCTION("IMPORTRANGE(""https://docs.google.com/spreadsheets/d/11923uPwbBZFjjGgGUA6NLw09EwE0CqkOc4q9oUmW1yo/edit?usp=sharing"",""ตาก!L460"")"),0)</f>
        <v>0</v>
      </c>
      <c r="M565" s="164"/>
      <c r="N565" s="168">
        <f ca="1">IFERROR(__xludf.DUMMYFUNCTION("IMPORTRANGE(""https://docs.google.com/spreadsheets/d/11923uPwbBZFjjGgGUA6NLw09EwE0CqkOc4q9oUmW1yo/edit?usp=sharing"",""ตาก!M460"")"),0)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IFERROR(__xludf.DUMMYFUNCTION("IMPORTRANGE(""https://docs.google.com/spreadsheets/d/11923uPwbBZFjjGgGUA6NLw09EwE0CqkOc4q9oUmW1yo/edit?usp=sharing"",""ตาก!L461"")"),128080)</f>
        <v>128080</v>
      </c>
      <c r="M566" s="165"/>
      <c r="N566" s="168">
        <f ca="1">IFERROR(__xludf.DUMMYFUNCTION("IMPORTRANGE(""https://docs.google.com/spreadsheets/d/11923uPwbBZFjjGgGUA6NLw09EwE0CqkOc4q9oUmW1yo/edit?usp=sharing"",""ตาก!M461"")"),82595)</f>
        <v>82595</v>
      </c>
      <c r="O566" s="168">
        <f t="shared" ca="1" si="122"/>
        <v>64.487039350405993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IFERROR(__xludf.DUMMYFUNCTION("IMPORTRANGE(""https://docs.google.com/spreadsheets/d/11923uPwbBZFjjGgGUA6NLw09EwE0CqkOc4q9oUmW1yo/edit?usp=sharing"",""ตาก!L462"")"),0)</f>
        <v>0</v>
      </c>
      <c r="M567" s="168"/>
      <c r="N567" s="168">
        <f ca="1">IFERROR(__xludf.DUMMYFUNCTION("IMPORTRANGE(""https://docs.google.com/spreadsheets/d/11923uPwbBZFjjGgGUA6NLw09EwE0CqkOc4q9oUmW1yo/edit?usp=sharing"",""ตาก!M462"")"),0)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IFERROR(__xludf.DUMMYFUNCTION("IMPORTRANGE(""https://docs.google.com/spreadsheets/d/11923uPwbBZFjjGgGUA6NLw09EwE0CqkOc4q9oUmW1yo/edit?usp=sharing"",""ตาก!L463"")"),128080)</f>
        <v>128080</v>
      </c>
      <c r="M568" s="168"/>
      <c r="N568" s="168">
        <f ca="1">IFERROR(__xludf.DUMMYFUNCTION("IMPORTRANGE(""https://docs.google.com/spreadsheets/d/11923uPwbBZFjjGgGUA6NLw09EwE0CqkOc4q9oUmW1yo/edit?usp=sharing"",""ตาก!M463"")"),82595)</f>
        <v>82595</v>
      </c>
      <c r="O568" s="168">
        <f t="shared" ca="1" si="122"/>
        <v>64.487039350405993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IFERROR(__xludf.DUMMYFUNCTION("IMPORTRANGE(""https://docs.google.com/spreadsheets/d/11923uPwbBZFjjGgGUA6NLw09EwE0CqkOc4q9oUmW1yo/edit?usp=sharing"",""ตาก!M464"")"),0)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IFERROR(__xludf.DUMMYFUNCTION("IMPORTRANGE(""https://docs.google.com/spreadsheets/d/11923uPwbBZFjjGgGUA6NLw09EwE0CqkOc4q9oUmW1yo/edit?usp=sharing"",""ตาก!M465"")"),0)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IFERROR(__xludf.DUMMYFUNCTION("IMPORTRANGE(""https://docs.google.com/spreadsheets/d/11923uPwbBZFjjGgGUA6NLw09EwE0CqkOc4q9oUmW1yo/edit?usp=sharing"",""ตาก!M466"")"),53935)</f>
        <v>53935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IFERROR(__xludf.DUMMYFUNCTION("IMPORTRANGE(""https://docs.google.com/spreadsheets/d/11923uPwbBZFjjGgGUA6NLw09EwE0CqkOc4q9oUmW1yo/edit?usp=sharing"",""ตาก!M467"")"),28660)</f>
        <v>28660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IFERROR(__xludf.DUMMYFUNCTION("IMPORTRANGE(""https://docs.google.com/spreadsheets/d/11923uPwbBZFjjGgGUA6NLw09EwE0CqkOc4q9oUmW1yo/edit?usp=sharing"",""ตาก!I468"")"),1300)</f>
        <v>1300</v>
      </c>
      <c r="J573" s="420">
        <f ca="1">IFERROR(__xludf.DUMMYFUNCTION("IMPORTRANGE(""https://docs.google.com/spreadsheets/d/11923uPwbBZFjjGgGUA6NLw09EwE0CqkOc4q9oUmW1yo/edit?usp=sharing"",""ตาก!J468"")"),1391)</f>
        <v>1391</v>
      </c>
      <c r="K573" s="201">
        <f ca="1">IF(I573&gt;0,J573*100/I573,0)</f>
        <v>107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IFERROR(__xludf.DUMMYFUNCTION("IMPORTRANGE(""https://docs.google.com/spreadsheets/d/11923uPwbBZFjjGgGUA6NLw09EwE0CqkOc4q9oUmW1yo/edit?usp=sharing"",""ตาก!I470"")"),0)</f>
        <v>0</v>
      </c>
      <c r="J575" s="197">
        <f ca="1">IFERROR(__xludf.DUMMYFUNCTION("IMPORTRANGE(""https://docs.google.com/spreadsheets/d/11923uPwbBZFjjGgGUA6NLw09EwE0CqkOc4q9oUmW1yo/edit?usp=sharing"",""ตาก!J470"")"),5)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IFERROR(__xludf.DUMMYFUNCTION("IMPORTRANGE(""https://docs.google.com/spreadsheets/d/11923uPwbBZFjjGgGUA6NLw09EwE0CqkOc4q9oUmW1yo/edit?usp=sharing"",""ตาก!I471"")"),0)</f>
        <v>0</v>
      </c>
      <c r="J576" s="197">
        <f ca="1">IFERROR(__xludf.DUMMYFUNCTION("IMPORTRANGE(""https://docs.google.com/spreadsheets/d/11923uPwbBZFjjGgGUA6NLw09EwE0CqkOc4q9oUmW1yo/edit?usp=sharing"",""ตาก!J471"")"),429)</f>
        <v>429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IFERROR(__xludf.DUMMYFUNCTION("IMPORTRANGE(""https://docs.google.com/spreadsheets/d/11923uPwbBZFjjGgGUA6NLw09EwE0CqkOc4q9oUmW1yo/edit?usp=sharing"",""ตาก!I472"")"),0)</f>
        <v>0</v>
      </c>
      <c r="J577" s="188">
        <f ca="1">IFERROR(__xludf.DUMMYFUNCTION("IMPORTRANGE(""https://docs.google.com/spreadsheets/d/11923uPwbBZFjjGgGUA6NLw09EwE0CqkOc4q9oUmW1yo/edit?usp=sharing"",""ตาก!J472"")"),962)</f>
        <v>962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IFERROR(__xludf.DUMMYFUNCTION("IMPORTRANGE(""https://docs.google.com/spreadsheets/d/11923uPwbBZFjjGgGUA6NLw09EwE0CqkOc4q9oUmW1yo/edit?usp=sharing"",""ตาก!I473"")"),0)</f>
        <v>0</v>
      </c>
      <c r="J578" s="197">
        <f ca="1">IFERROR(__xludf.DUMMYFUNCTION("IMPORTRANGE(""https://docs.google.com/spreadsheets/d/11923uPwbBZFjjGgGUA6NLw09EwE0CqkOc4q9oUmW1yo/edit?usp=sharing"",""ตาก!J473"")"),0)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IFERROR(__xludf.DUMMYFUNCTION("IMPORTRANGE(""https://docs.google.com/spreadsheets/d/11923uPwbBZFjjGgGUA6NLw09EwE0CqkOc4q9oUmW1yo/edit?usp=sharing"",""ตาก!I474"")"),0)</f>
        <v>0</v>
      </c>
      <c r="J579" s="197">
        <f ca="1">IFERROR(__xludf.DUMMYFUNCTION("IMPORTRANGE(""https://docs.google.com/spreadsheets/d/11923uPwbBZFjjGgGUA6NLw09EwE0CqkOc4q9oUmW1yo/edit?usp=sharing"",""ตาก!J474"")"),0)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IFERROR(__xludf.DUMMYFUNCTION("IMPORTRANGE(""https://docs.google.com/spreadsheets/d/11923uPwbBZFjjGgGUA6NLw09EwE0CqkOc4q9oUmW1yo/edit?usp=sharing"",""ตาก!I475"")"),220)</f>
        <v>220</v>
      </c>
      <c r="J580" s="370">
        <f ca="1">IFERROR(__xludf.DUMMYFUNCTION("IMPORTRANGE(""https://docs.google.com/spreadsheets/d/11923uPwbBZFjjGgGUA6NLw09EwE0CqkOc4q9oUmW1yo/edit?usp=sharing"",""ตาก!J475"")"),0)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IFERROR(__xludf.DUMMYFUNCTION("IMPORTRANGE(""https://docs.google.com/spreadsheets/d/11923uPwbBZFjjGgGUA6NLw09EwE0CqkOc4q9oUmW1yo/edit?usp=sharing"",""ตาก!L475"")"),370020)</f>
        <v>370020</v>
      </c>
      <c r="M580" s="372"/>
      <c r="N580" s="372">
        <f ca="1">IFERROR(__xludf.DUMMYFUNCTION("IMPORTRANGE(""https://docs.google.com/spreadsheets/d/11923uPwbBZFjjGgGUA6NLw09EwE0CqkOc4q9oUmW1yo/edit?usp=sharing"",""ตาก!M475"")"),179360.25)</f>
        <v>179360.25</v>
      </c>
      <c r="O580" s="372">
        <f t="shared" ref="O580:O584" ca="1" si="124">+IF(L580&gt;0,N580*100/L580,0)</f>
        <v>48.473123074428408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IFERROR(__xludf.DUMMYFUNCTION("IMPORTRANGE(""https://docs.google.com/spreadsheets/d/11923uPwbBZFjjGgGUA6NLw09EwE0CqkOc4q9oUmW1yo/edit?usp=sharing"",""ตาก!L476"")"),0)</f>
        <v>0</v>
      </c>
      <c r="M581" s="164"/>
      <c r="N581" s="168">
        <f ca="1">IFERROR(__xludf.DUMMYFUNCTION("IMPORTRANGE(""https://docs.google.com/spreadsheets/d/11923uPwbBZFjjGgGUA6NLw09EwE0CqkOc4q9oUmW1yo/edit?usp=sharing"",""ตาก!M476"")"),0)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IFERROR(__xludf.DUMMYFUNCTION("IMPORTRANGE(""https://docs.google.com/spreadsheets/d/11923uPwbBZFjjGgGUA6NLw09EwE0CqkOc4q9oUmW1yo/edit?usp=sharing"",""ตาก!L477"")"),370020)</f>
        <v>370020</v>
      </c>
      <c r="M582" s="165"/>
      <c r="N582" s="168">
        <f ca="1">IFERROR(__xludf.DUMMYFUNCTION("IMPORTRANGE(""https://docs.google.com/spreadsheets/d/11923uPwbBZFjjGgGUA6NLw09EwE0CqkOc4q9oUmW1yo/edit?usp=sharing"",""ตาก!M477"")"),179360.25)</f>
        <v>179360.25</v>
      </c>
      <c r="O582" s="168">
        <f t="shared" ca="1" si="124"/>
        <v>48.473123074428408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IFERROR(__xludf.DUMMYFUNCTION("IMPORTRANGE(""https://docs.google.com/spreadsheets/d/11923uPwbBZFjjGgGUA6NLw09EwE0CqkOc4q9oUmW1yo/edit?usp=sharing"",""ตาก!L478"")"),0)</f>
        <v>0</v>
      </c>
      <c r="M583" s="168"/>
      <c r="N583" s="168">
        <f ca="1">IFERROR(__xludf.DUMMYFUNCTION("IMPORTRANGE(""https://docs.google.com/spreadsheets/d/11923uPwbBZFjjGgGUA6NLw09EwE0CqkOc4q9oUmW1yo/edit?usp=sharing"",""ตาก!M478"")"),0)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IFERROR(__xludf.DUMMYFUNCTION("IMPORTRANGE(""https://docs.google.com/spreadsheets/d/11923uPwbBZFjjGgGUA6NLw09EwE0CqkOc4q9oUmW1yo/edit?usp=sharing"",""ตาก!L479"")"),370020)</f>
        <v>370020</v>
      </c>
      <c r="M584" s="168"/>
      <c r="N584" s="168">
        <f ca="1">IFERROR(__xludf.DUMMYFUNCTION("IMPORTRANGE(""https://docs.google.com/spreadsheets/d/11923uPwbBZFjjGgGUA6NLw09EwE0CqkOc4q9oUmW1yo/edit?usp=sharing"",""ตาก!M479"")"),179360.25)</f>
        <v>179360.25</v>
      </c>
      <c r="O584" s="168">
        <f t="shared" ca="1" si="124"/>
        <v>48.473123074428408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IFERROR(__xludf.DUMMYFUNCTION("IMPORTRANGE(""https://docs.google.com/spreadsheets/d/11923uPwbBZFjjGgGUA6NLw09EwE0CqkOc4q9oUmW1yo/edit?usp=sharing"",""ตาก!M480"")"),0)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IFERROR(__xludf.DUMMYFUNCTION("IMPORTRANGE(""https://docs.google.com/spreadsheets/d/11923uPwbBZFjjGgGUA6NLw09EwE0CqkOc4q9oUmW1yo/edit?usp=sharing"",""ตาก!M481"")"),0)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IFERROR(__xludf.DUMMYFUNCTION("IMPORTRANGE(""https://docs.google.com/spreadsheets/d/11923uPwbBZFjjGgGUA6NLw09EwE0CqkOc4q9oUmW1yo/edit?usp=sharing"",""ตาก!M482"")"),76266)</f>
        <v>76266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IFERROR(__xludf.DUMMYFUNCTION("IMPORTRANGE(""https://docs.google.com/spreadsheets/d/11923uPwbBZFjjGgGUA6NLw09EwE0CqkOc4q9oUmW1yo/edit?usp=sharing"",""ตาก!M483"")"),103094.25)</f>
        <v>103094.25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IFERROR(__xludf.DUMMYFUNCTION("IMPORTRANGE(""https://docs.google.com/spreadsheets/d/11923uPwbBZFjjGgGUA6NLw09EwE0CqkOc4q9oUmW1yo/edit?usp=sharing"",""ตาก!I484"")"),220)</f>
        <v>220</v>
      </c>
      <c r="J589" s="187">
        <f ca="1">IFERROR(__xludf.DUMMYFUNCTION("IMPORTRANGE(""https://docs.google.com/spreadsheets/d/11923uPwbBZFjjGgGUA6NLw09EwE0CqkOc4q9oUmW1yo/edit?usp=sharing"",""ตาก!J484"")"),0)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IFERROR(__xludf.DUMMYFUNCTION("IMPORTRANGE(""https://docs.google.com/spreadsheets/d/11923uPwbBZFjjGgGUA6NLw09EwE0CqkOc4q9oUmW1yo/edit?usp=sharing"",""ตาก!I485"")"),0)</f>
        <v>0</v>
      </c>
      <c r="J590" s="187">
        <f ca="1">IFERROR(__xludf.DUMMYFUNCTION("IMPORTRANGE(""https://docs.google.com/spreadsheets/d/11923uPwbBZFjjGgGUA6NLw09EwE0CqkOc4q9oUmW1yo/edit?usp=sharing"",""ตาก!J485"")"),0)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IFERROR(__xludf.DUMMYFUNCTION("IMPORTRANGE(""https://docs.google.com/spreadsheets/d/11923uPwbBZFjjGgGUA6NLw09EwE0CqkOc4q9oUmW1yo/edit?usp=sharing"",""ตาก!I486"")"),220)</f>
        <v>220</v>
      </c>
      <c r="J591" s="187">
        <f ca="1">IFERROR(__xludf.DUMMYFUNCTION("IMPORTRANGE(""https://docs.google.com/spreadsheets/d/11923uPwbBZFjjGgGUA6NLw09EwE0CqkOc4q9oUmW1yo/edit?usp=sharing"",""ตาก!J486"")"),0)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IFERROR(__xludf.DUMMYFUNCTION("IMPORTRANGE(""https://docs.google.com/spreadsheets/d/11923uPwbBZFjjGgGUA6NLw09EwE0CqkOc4q9oUmW1yo/edit?usp=sharing"",""ตาก!I487"")"),0)</f>
        <v>0</v>
      </c>
      <c r="J592" s="187">
        <f ca="1">IFERROR(__xludf.DUMMYFUNCTION("IMPORTRANGE(""https://docs.google.com/spreadsheets/d/11923uPwbBZFjjGgGUA6NLw09EwE0CqkOc4q9oUmW1yo/edit?usp=sharing"",""ตาก!J487"")"),0)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IFERROR(__xludf.DUMMYFUNCTION("IMPORTRANGE(""https://docs.google.com/spreadsheets/d/11923uPwbBZFjjGgGUA6NLw09EwE0CqkOc4q9oUmW1yo/edit?usp=sharing"",""ตาก!I488"")"),220)</f>
        <v>220</v>
      </c>
      <c r="J593" s="187">
        <f ca="1">IFERROR(__xludf.DUMMYFUNCTION("IMPORTRANGE(""https://docs.google.com/spreadsheets/d/11923uPwbBZFjjGgGUA6NLw09EwE0CqkOc4q9oUmW1yo/edit?usp=sharing"",""ตาก!J488"")"),0)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IFERROR(__xludf.DUMMYFUNCTION("IMPORTRANGE(""https://docs.google.com/spreadsheets/d/11923uPwbBZFjjGgGUA6NLw09EwE0CqkOc4q9oUmW1yo/edit?usp=sharing"",""ตาก!I489"")"),0)</f>
        <v>0</v>
      </c>
      <c r="J594" s="187">
        <f ca="1">IFERROR(__xludf.DUMMYFUNCTION("IMPORTRANGE(""https://docs.google.com/spreadsheets/d/11923uPwbBZFjjGgGUA6NLw09EwE0CqkOc4q9oUmW1yo/edit?usp=sharing"",""ตาก!J489"")"),0)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IFERROR(__xludf.DUMMYFUNCTION("IMPORTRANGE(""https://docs.google.com/spreadsheets/d/11923uPwbBZFjjGgGUA6NLw09EwE0CqkOc4q9oUmW1yo/edit?usp=sharing"",""ตาก!I490"")"),220)</f>
        <v>220</v>
      </c>
      <c r="J595" s="187">
        <f ca="1">IFERROR(__xludf.DUMMYFUNCTION("IMPORTRANGE(""https://docs.google.com/spreadsheets/d/11923uPwbBZFjjGgGUA6NLw09EwE0CqkOc4q9oUmW1yo/edit?usp=sharing"",""ตาก!J490"")"),0)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IFERROR(__xludf.DUMMYFUNCTION("IMPORTRANGE(""https://docs.google.com/spreadsheets/d/11923uPwbBZFjjGgGUA6NLw09EwE0CqkOc4q9oUmW1yo/edit?usp=sharing"",""ตาก!I491"")"),0)</f>
        <v>0</v>
      </c>
      <c r="J596" s="241">
        <f ca="1">IFERROR(__xludf.DUMMYFUNCTION("IMPORTRANGE(""https://docs.google.com/spreadsheets/d/11923uPwbBZFjjGgGUA6NLw09EwE0CqkOc4q9oUmW1yo/edit?usp=sharing"",""ตาก!J491"")"),0)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IFERROR(__xludf.DUMMYFUNCTION("IMPORTRANGE(""https://docs.google.com/spreadsheets/d/11923uPwbBZFjjGgGUA6NLw09EwE0CqkOc4q9oUmW1yo/edit?usp=sharing"",""ตาก!I492"")"),100)</f>
        <v>100</v>
      </c>
      <c r="J597" s="488">
        <f ca="1">IFERROR(__xludf.DUMMYFUNCTION("IMPORTRANGE(""https://docs.google.com/spreadsheets/d/11923uPwbBZFjjGgGUA6NLw09EwE0CqkOc4q9oUmW1yo/edit?usp=sharing"",""ตาก!J492"")"),0)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IFERROR(__xludf.DUMMYFUNCTION("IMPORTRANGE(""https://docs.google.com/spreadsheets/d/11923uPwbBZFjjGgGUA6NLw09EwE0CqkOc4q9oUmW1yo/edit?usp=sharing"",""ตาก!L492"")"),8100)</f>
        <v>8100</v>
      </c>
      <c r="M597" s="411"/>
      <c r="N597" s="411">
        <f ca="1">IFERROR(__xludf.DUMMYFUNCTION("IMPORTRANGE(""https://docs.google.com/spreadsheets/d/11923uPwbBZFjjGgGUA6NLw09EwE0CqkOc4q9oUmW1yo/edit?usp=sharing"",""ตาก!M492"")"),800)</f>
        <v>800</v>
      </c>
      <c r="O597" s="411">
        <f t="shared" ref="O597:O601" ca="1" si="126">+IF(L597&gt;0,N597*100/L597,0)</f>
        <v>9.8765432098765427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IFERROR(__xludf.DUMMYFUNCTION("IMPORTRANGE(""https://docs.google.com/spreadsheets/d/11923uPwbBZFjjGgGUA6NLw09EwE0CqkOc4q9oUmW1yo/edit?usp=sharing"",""ตาก!L493"")"),0)</f>
        <v>0</v>
      </c>
      <c r="M598" s="164"/>
      <c r="N598" s="168">
        <f ca="1">IFERROR(__xludf.DUMMYFUNCTION("IMPORTRANGE(""https://docs.google.com/spreadsheets/d/11923uPwbBZFjjGgGUA6NLw09EwE0CqkOc4q9oUmW1yo/edit?usp=sharing"",""ตาก!M493"")"),0)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IFERROR(__xludf.DUMMYFUNCTION("IMPORTRANGE(""https://docs.google.com/spreadsheets/d/11923uPwbBZFjjGgGUA6NLw09EwE0CqkOc4q9oUmW1yo/edit?usp=sharing"",""ตาก!L494"")"),8100)</f>
        <v>8100</v>
      </c>
      <c r="M599" s="165"/>
      <c r="N599" s="168">
        <f ca="1">IFERROR(__xludf.DUMMYFUNCTION("IMPORTRANGE(""https://docs.google.com/spreadsheets/d/11923uPwbBZFjjGgGUA6NLw09EwE0CqkOc4q9oUmW1yo/edit?usp=sharing"",""ตาก!M494"")"),800)</f>
        <v>800</v>
      </c>
      <c r="O599" s="168">
        <f t="shared" ca="1" si="126"/>
        <v>9.8765432098765427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IFERROR(__xludf.DUMMYFUNCTION("IMPORTRANGE(""https://docs.google.com/spreadsheets/d/11923uPwbBZFjjGgGUA6NLw09EwE0CqkOc4q9oUmW1yo/edit?usp=sharing"",""ตาก!L495"")"),0)</f>
        <v>0</v>
      </c>
      <c r="M600" s="168"/>
      <c r="N600" s="168">
        <f ca="1">IFERROR(__xludf.DUMMYFUNCTION("IMPORTRANGE(""https://docs.google.com/spreadsheets/d/11923uPwbBZFjjGgGUA6NLw09EwE0CqkOc4q9oUmW1yo/edit?usp=sharing"",""ตาก!M495"")"),0)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IFERROR(__xludf.DUMMYFUNCTION("IMPORTRANGE(""https://docs.google.com/spreadsheets/d/11923uPwbBZFjjGgGUA6NLw09EwE0CqkOc4q9oUmW1yo/edit?usp=sharing"",""ตาก!L496"")"),8100)</f>
        <v>8100</v>
      </c>
      <c r="M601" s="168"/>
      <c r="N601" s="168">
        <f ca="1">IFERROR(__xludf.DUMMYFUNCTION("IMPORTRANGE(""https://docs.google.com/spreadsheets/d/11923uPwbBZFjjGgGUA6NLw09EwE0CqkOc4q9oUmW1yo/edit?usp=sharing"",""ตาก!M496"")"),800)</f>
        <v>800</v>
      </c>
      <c r="O601" s="168">
        <f t="shared" ca="1" si="126"/>
        <v>9.8765432098765427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IFERROR(__xludf.DUMMYFUNCTION("IMPORTRANGE(""https://docs.google.com/spreadsheets/d/11923uPwbBZFjjGgGUA6NLw09EwE0CqkOc4q9oUmW1yo/edit?usp=sharing"",""ตาก!M497"")"),0)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IFERROR(__xludf.DUMMYFUNCTION("IMPORTRANGE(""https://docs.google.com/spreadsheets/d/11923uPwbBZFjjGgGUA6NLw09EwE0CqkOc4q9oUmW1yo/edit?usp=sharing"",""ตาก!M498"")"),0)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IFERROR(__xludf.DUMMYFUNCTION("IMPORTRANGE(""https://docs.google.com/spreadsheets/d/11923uPwbBZFjjGgGUA6NLw09EwE0CqkOc4q9oUmW1yo/edit?usp=sharing"",""ตาก!M499"")"),0)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IFERROR(__xludf.DUMMYFUNCTION("IMPORTRANGE(""https://docs.google.com/spreadsheets/d/11923uPwbBZFjjGgGUA6NLw09EwE0CqkOc4q9oUmW1yo/edit?usp=sharing"",""ตาก!M500"")"),800)</f>
        <v>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IFERROR(__xludf.DUMMYFUNCTION("IMPORTRANGE(""https://docs.google.com/spreadsheets/d/11923uPwbBZFjjGgGUA6NLw09EwE0CqkOc4q9oUmW1yo/edit?usp=sharing"",""ตาก!J502"")"),0)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IFERROR(__xludf.DUMMYFUNCTION("IMPORTRANGE(""https://docs.google.com/spreadsheets/d/11923uPwbBZFjjGgGUA6NLw09EwE0CqkOc4q9oUmW1yo/edit?usp=sharing"",""ตาก!J503"")"),1)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IFERROR(__xludf.DUMMYFUNCTION("IMPORTRANGE(""https://docs.google.com/spreadsheets/d/11923uPwbBZFjjGgGUA6NLw09EwE0CqkOc4q9oUmW1yo/edit?usp=sharing"",""ตาก!J166"")"),0)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IFERROR(__xludf.DUMMYFUNCTION("IMPORTRANGE(""https://docs.google.com/spreadsheets/d/11923uPwbBZFjjGgGUA6NLw09EwE0CqkOc4q9oUmW1yo/edit?usp=sharing"",""ตาก!J166"")"),0)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IFERROR(__xludf.DUMMYFUNCTION("IMPORTRANGE(""https://docs.google.com/spreadsheets/d/11923uPwbBZFjjGgGUA6NLw09EwE0CqkOc4q9oUmW1yo/edit?usp=sharing"",""ตาก!I506"")"),100)</f>
        <v>100</v>
      </c>
      <c r="J611" s="162">
        <f ca="1">IFERROR(__xludf.DUMMYFUNCTION("IMPORTRANGE(""https://docs.google.com/spreadsheets/d/11923uPwbBZFjjGgGUA6NLw09EwE0CqkOc4q9oUmW1yo/edit?usp=sharing"",""ตาก!J506"")"),0)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IFERROR(__xludf.DUMMYFUNCTION("IMPORTRANGE(""https://docs.google.com/spreadsheets/d/11923uPwbBZFjjGgGUA6NLw09EwE0CqkOc4q9oUmW1yo/edit?usp=sharing"",""ตาก!I507"")"),0)</f>
        <v>0</v>
      </c>
      <c r="J612" s="197">
        <f ca="1">IFERROR(__xludf.DUMMYFUNCTION("IMPORTRANGE(""https://docs.google.com/spreadsheets/d/11923uPwbBZFjjGgGUA6NLw09EwE0CqkOc4q9oUmW1yo/edit?usp=sharing"",""ตาก!J507"")"),0)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IFERROR(__xludf.DUMMYFUNCTION("IMPORTRANGE(""https://docs.google.com/spreadsheets/d/11923uPwbBZFjjGgGUA6NLw09EwE0CqkOc4q9oUmW1yo/edit?usp=sharing"",""ตาก!I508"")"),0)</f>
        <v>0</v>
      </c>
      <c r="J613" s="197">
        <f ca="1">IFERROR(__xludf.DUMMYFUNCTION("IMPORTRANGE(""https://docs.google.com/spreadsheets/d/11923uPwbBZFjjGgGUA6NLw09EwE0CqkOc4q9oUmW1yo/edit?usp=sharing"",""ตาก!J508"")"),0)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IFERROR(__xludf.DUMMYFUNCTION("IMPORTRANGE(""https://docs.google.com/spreadsheets/d/11923uPwbBZFjjGgGUA6NLw09EwE0CqkOc4q9oUmW1yo/edit?usp=sharing"",""ตาก!I509"")"),0)</f>
        <v>0</v>
      </c>
      <c r="J614" s="197">
        <f ca="1">IFERROR(__xludf.DUMMYFUNCTION("IMPORTRANGE(""https://docs.google.com/spreadsheets/d/11923uPwbBZFjjGgGUA6NLw09EwE0CqkOc4q9oUmW1yo/edit?usp=sharing"",""ตาก!J509"")"),0)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IFERROR(__xludf.DUMMYFUNCTION("IMPORTRANGE(""https://docs.google.com/spreadsheets/d/11923uPwbBZFjjGgGUA6NLw09EwE0CqkOc4q9oUmW1yo/edit?usp=sharing"",""ตาก!I510"")"),0)</f>
        <v>0</v>
      </c>
      <c r="J615" s="197">
        <f ca="1">IFERROR(__xludf.DUMMYFUNCTION("IMPORTRANGE(""https://docs.google.com/spreadsheets/d/11923uPwbBZFjjGgGUA6NLw09EwE0CqkOc4q9oUmW1yo/edit?usp=sharing"",""ตาก!J510"")"),0)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IFERROR(__xludf.DUMMYFUNCTION("IMPORTRANGE(""https://docs.google.com/spreadsheets/d/11923uPwbBZFjjGgGUA6NLw09EwE0CqkOc4q9oUmW1yo/edit?usp=sharing"",""ตาก!I511"")"),0)</f>
        <v>0</v>
      </c>
      <c r="J616" s="197">
        <f ca="1">IFERROR(__xludf.DUMMYFUNCTION("IMPORTRANGE(""https://docs.google.com/spreadsheets/d/11923uPwbBZFjjGgGUA6NLw09EwE0CqkOc4q9oUmW1yo/edit?usp=sharing"",""ตาก!J511"")"),0)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IFERROR(__xludf.DUMMYFUNCTION("IMPORTRANGE(""https://docs.google.com/spreadsheets/d/11923uPwbBZFjjGgGUA6NLw09EwE0CqkOc4q9oUmW1yo/edit?usp=sharing"",""ตาก!I512"")"),0)</f>
        <v>0</v>
      </c>
      <c r="J617" s="187">
        <f ca="1">IFERROR(__xludf.DUMMYFUNCTION("IMPORTRANGE(""https://docs.google.com/spreadsheets/d/11923uPwbBZFjjGgGUA6NLw09EwE0CqkOc4q9oUmW1yo/edit?usp=sharing"",""ตาก!J512"")"),0)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IFERROR(__xludf.DUMMYFUNCTION("IMPORTRANGE(""https://docs.google.com/spreadsheets/d/11923uPwbBZFjjGgGUA6NLw09EwE0CqkOc4q9oUmW1yo/edit?usp=sharing"",""ตาก!I513"")"),0)</f>
        <v>0</v>
      </c>
      <c r="J618" s="188">
        <f ca="1">IFERROR(__xludf.DUMMYFUNCTION("IMPORTRANGE(""https://docs.google.com/spreadsheets/d/11923uPwbBZFjjGgGUA6NLw09EwE0CqkOc4q9oUmW1yo/edit?usp=sharing"",""ตาก!J513"")"),0)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IFERROR(__xludf.DUMMYFUNCTION("IMPORTRANGE(""https://docs.google.com/spreadsheets/d/11923uPwbBZFjjGgGUA6NLw09EwE0CqkOc4q9oUmW1yo/edit?usp=sharing"",""ตาก!I514"")"),0)</f>
        <v>0</v>
      </c>
      <c r="J619" s="188">
        <f ca="1">IFERROR(__xludf.DUMMYFUNCTION("IMPORTRANGE(""https://docs.google.com/spreadsheets/d/11923uPwbBZFjjGgGUA6NLw09EwE0CqkOc4q9oUmW1yo/edit?usp=sharing"",""ตาก!J514"")"),0)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IFERROR(__xludf.DUMMYFUNCTION("IMPORTRANGE(""https://docs.google.com/spreadsheets/d/11923uPwbBZFjjGgGUA6NLw09EwE0CqkOc4q9oUmW1yo/edit?usp=sharing"",""ตาก!I515"")"),0)</f>
        <v>0</v>
      </c>
      <c r="J620" s="202">
        <f ca="1">IFERROR(__xludf.DUMMYFUNCTION("IMPORTRANGE(""https://docs.google.com/spreadsheets/d/11923uPwbBZFjjGgGUA6NLw09EwE0CqkOc4q9oUmW1yo/edit?usp=sharing"",""ตาก!J515"")"),0)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IFERROR(__xludf.DUMMYFUNCTION("IMPORTRANGE(""https://docs.google.com/spreadsheets/d/11923uPwbBZFjjGgGUA6NLw09EwE0CqkOc4q9oUmW1yo/edit?usp=sharing"",""ตาก!I516"")"),0)</f>
        <v>0</v>
      </c>
      <c r="J621" s="202">
        <f ca="1">IFERROR(__xludf.DUMMYFUNCTION("IMPORTRANGE(""https://docs.google.com/spreadsheets/d/11923uPwbBZFjjGgGUA6NLw09EwE0CqkOc4q9oUmW1yo/edit?usp=sharing"",""ตาก!J516"")"),0)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IFERROR(__xludf.DUMMYFUNCTION("IMPORTRANGE(""https://docs.google.com/spreadsheets/d/11923uPwbBZFjjGgGUA6NLw09EwE0CqkOc4q9oUmW1yo/edit?usp=sharing"",""ตาก!I517"")"),0)</f>
        <v>0</v>
      </c>
      <c r="J622" s="188">
        <f ca="1">IFERROR(__xludf.DUMMYFUNCTION("IMPORTRANGE(""https://docs.google.com/spreadsheets/d/11923uPwbBZFjjGgGUA6NLw09EwE0CqkOc4q9oUmW1yo/edit?usp=sharing"",""ตาก!J517"")"),0)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IFERROR(__xludf.DUMMYFUNCTION("IMPORTRANGE(""https://docs.google.com/spreadsheets/d/11923uPwbBZFjjGgGUA6NLw09EwE0CqkOc4q9oUmW1yo/edit?usp=sharing"",""ตาก!I518"")"),0)</f>
        <v>0</v>
      </c>
      <c r="J623" s="188">
        <f ca="1">IFERROR(__xludf.DUMMYFUNCTION("IMPORTRANGE(""https://docs.google.com/spreadsheets/d/11923uPwbBZFjjGgGUA6NLw09EwE0CqkOc4q9oUmW1yo/edit?usp=sharing"",""ตาก!J518"")"),0)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IFERROR(__xludf.DUMMYFUNCTION("IMPORTRANGE(""https://docs.google.com/spreadsheets/d/11923uPwbBZFjjGgGUA6NLw09EwE0CqkOc4q9oUmW1yo/edit?usp=sharing"",""ตาก!I519"")"),0)</f>
        <v>0</v>
      </c>
      <c r="J624" s="187">
        <f ca="1">IFERROR(__xludf.DUMMYFUNCTION("IMPORTRANGE(""https://docs.google.com/spreadsheets/d/11923uPwbBZFjjGgGUA6NLw09EwE0CqkOc4q9oUmW1yo/edit?usp=sharing"",""ตาก!J519"")"),0)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IFERROR(__xludf.DUMMYFUNCTION("IMPORTRANGE(""https://docs.google.com/spreadsheets/d/11923uPwbBZFjjGgGUA6NLw09EwE0CqkOc4q9oUmW1yo/edit?usp=sharing"",""ตาก!I520"")"),0)</f>
        <v>0</v>
      </c>
      <c r="J625" s="188">
        <f ca="1">IFERROR(__xludf.DUMMYFUNCTION("IMPORTRANGE(""https://docs.google.com/spreadsheets/d/11923uPwbBZFjjGgGUA6NLw09EwE0CqkOc4q9oUmW1yo/edit?usp=sharing"",""ตาก!J520"")"),0)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IFERROR(__xludf.DUMMYFUNCTION("IMPORTRANGE(""https://docs.google.com/spreadsheets/d/11923uPwbBZFjjGgGUA6NLw09EwE0CqkOc4q9oUmW1yo/edit?usp=sharing"",""ตาก!I521"")"),0)</f>
        <v>0</v>
      </c>
      <c r="J626" s="188">
        <f ca="1">IFERROR(__xludf.DUMMYFUNCTION("IMPORTRANGE(""https://docs.google.com/spreadsheets/d/11923uPwbBZFjjGgGUA6NLw09EwE0CqkOc4q9oUmW1yo/edit?usp=sharing"",""ตาก!J521"")"),0)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IFERROR(__xludf.DUMMYFUNCTION("IMPORTRANGE(""https://docs.google.com/spreadsheets/d/11923uPwbBZFjjGgGUA6NLw09EwE0CqkOc4q9oUmW1yo/edit?usp=sharing"",""ตาก!I523"")"),2024605.17)</f>
        <v>2024605.17</v>
      </c>
      <c r="J628" s="341">
        <f ca="1">IFERROR(__xludf.DUMMYFUNCTION("IMPORTRANGE(""https://docs.google.com/spreadsheets/d/11923uPwbBZFjjGgGUA6NLw09EwE0CqkOc4q9oUmW1yo/edit?usp=sharing"",""ตาก!J523"")"),1455276.09)</f>
        <v>1455276.09</v>
      </c>
      <c r="K628" s="342">
        <f t="shared" ref="K628:K635" ca="1" si="129">IF(I628&gt;0,J628*100/I628,0)</f>
        <v>71.879500831265787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IFERROR(__xludf.DUMMYFUNCTION("IMPORTRANGE(""https://docs.google.com/spreadsheets/d/11923uPwbBZFjjGgGUA6NLw09EwE0CqkOc4q9oUmW1yo/edit?usp=sharing"",""ตาก!I524"")"),177)</f>
        <v>177</v>
      </c>
      <c r="J629" s="341">
        <f ca="1">IFERROR(__xludf.DUMMYFUNCTION("IMPORTRANGE(""https://docs.google.com/spreadsheets/d/11923uPwbBZFjjGgGUA6NLw09EwE0CqkOc4q9oUmW1yo/edit?usp=sharing"",""ตาก!J524"")"),134)</f>
        <v>134</v>
      </c>
      <c r="K629" s="342">
        <f t="shared" ca="1" si="129"/>
        <v>75.706214689265536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IFERROR(__xludf.DUMMYFUNCTION("IMPORTRANGE(""https://docs.google.com/spreadsheets/d/11923uPwbBZFjjGgGUA6NLw09EwE0CqkOc4q9oUmW1yo/edit?usp=sharing"",""ตาก!I525"")"),7699315.18)</f>
        <v>7699315.1799999997</v>
      </c>
      <c r="J630" s="341">
        <f ca="1">IFERROR(__xludf.DUMMYFUNCTION("IMPORTRANGE(""https://docs.google.com/spreadsheets/d/11923uPwbBZFjjGgGUA6NLw09EwE0CqkOc4q9oUmW1yo/edit?usp=sharing"",""ตาก!J525"")"),499255.58)</f>
        <v>499255.58</v>
      </c>
      <c r="K630" s="342">
        <f t="shared" ca="1" si="129"/>
        <v>6.4844154100468971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IFERROR(__xludf.DUMMYFUNCTION("IMPORTRANGE(""https://docs.google.com/spreadsheets/d/11923uPwbBZFjjGgGUA6NLw09EwE0CqkOc4q9oUmW1yo/edit?usp=sharing"",""ตาก!I526"")"),292)</f>
        <v>292</v>
      </c>
      <c r="J631" s="341">
        <f ca="1">IFERROR(__xludf.DUMMYFUNCTION("IMPORTRANGE(""https://docs.google.com/spreadsheets/d/11923uPwbBZFjjGgGUA6NLw09EwE0CqkOc4q9oUmW1yo/edit?usp=sharing"",""ตาก!J526"")"),165)</f>
        <v>165</v>
      </c>
      <c r="K631" s="342">
        <f t="shared" ca="1" si="129"/>
        <v>56.506849315068493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IFERROR(__xludf.DUMMYFUNCTION("IMPORTRANGE(""https://docs.google.com/spreadsheets/d/11923uPwbBZFjjGgGUA6NLw09EwE0CqkOc4q9oUmW1yo/edit?usp=sharing"",""ตาก!I527"")"),0)</f>
        <v>0</v>
      </c>
      <c r="J632" s="341">
        <f ca="1">IFERROR(__xludf.DUMMYFUNCTION("IMPORTRANGE(""https://docs.google.com/spreadsheets/d/11923uPwbBZFjjGgGUA6NLw09EwE0CqkOc4q9oUmW1yo/edit?usp=sharing"",""ตาก!J527"")"),0)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IFERROR(__xludf.DUMMYFUNCTION("IMPORTRANGE(""https://docs.google.com/spreadsheets/d/11923uPwbBZFjjGgGUA6NLw09EwE0CqkOc4q9oUmW1yo/edit?usp=sharing"",""ตาก!I528"")"),0)</f>
        <v>0</v>
      </c>
      <c r="J633" s="341">
        <f ca="1">IFERROR(__xludf.DUMMYFUNCTION("IMPORTRANGE(""https://docs.google.com/spreadsheets/d/11923uPwbBZFjjGgGUA6NLw09EwE0CqkOc4q9oUmW1yo/edit?usp=sharing"",""ตาก!J528"")"),0)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IFERROR(__xludf.DUMMYFUNCTION("IMPORTRANGE(""https://docs.google.com/spreadsheets/d/11923uPwbBZFjjGgGUA6NLw09EwE0CqkOc4q9oUmW1yo/edit?usp=sharing"",""ตาก!I529"")"),3000000)</f>
        <v>3000000</v>
      </c>
      <c r="J634" s="341">
        <f ca="1">IFERROR(__xludf.DUMMYFUNCTION("IMPORTRANGE(""https://docs.google.com/spreadsheets/d/11923uPwbBZFjjGgGUA6NLw09EwE0CqkOc4q9oUmW1yo/edit?usp=sharing"",""ตาก!J529"")"),3000000)</f>
        <v>3000000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IFERROR(__xludf.DUMMYFUNCTION("IMPORTRANGE(""https://docs.google.com/spreadsheets/d/11923uPwbBZFjjGgGUA6NLw09EwE0CqkOc4q9oUmW1yo/edit?usp=sharing"",""ตาก!I530"")"),100)</f>
        <v>100</v>
      </c>
      <c r="J635" s="505">
        <f ca="1">IFERROR(__xludf.DUMMYFUNCTION("IMPORTRANGE(""https://docs.google.com/spreadsheets/d/11923uPwbBZFjjGgGUA6NLw09EwE0CqkOc4q9oUmW1yo/edit?usp=sharing"",""ตาก!J530"")"),102)</f>
        <v>102</v>
      </c>
      <c r="K635" s="487">
        <f t="shared" ca="1" si="129"/>
        <v>102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IFERROR(__xludf.DUMMYFUNCTION("IMPORTRANGE(""https://docs.google.com/spreadsheets/d/11923uPwbBZFjjGgGUA6NLw09EwE0CqkOc4q9oUmW1yo/edit?usp=sharing"",""ตาก!J541"")"),0)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IFERROR(__xludf.DUMMYFUNCTION("IMPORTRANGE(""https://docs.google.com/spreadsheets/d/11923uPwbBZFjjGgGUA6NLw09EwE0CqkOc4q9oUmW1yo/edit?usp=sharing"",""ตาก!J542"")"),0)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IFERROR(__xludf.DUMMYFUNCTION("IMPORTRANGE(""https://docs.google.com/spreadsheets/d/11923uPwbBZFjjGgGUA6NLw09EwE0CqkOc4q9oUmW1yo/edit?usp=sharing"",""ตาก!I543"")"),0)</f>
        <v>0</v>
      </c>
      <c r="J648" s="536">
        <f ca="1">IFERROR(__xludf.DUMMYFUNCTION("IMPORTRANGE(""https://docs.google.com/spreadsheets/d/11923uPwbBZFjjGgGUA6NLw09EwE0CqkOc4q9oUmW1yo/edit?usp=sharing"",""ตาก!J543"")"),0)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IFERROR(__xludf.DUMMYFUNCTION("IMPORTRANGE(""https://docs.google.com/spreadsheets/d/11923uPwbBZFjjGgGUA6NLw09EwE0CqkOc4q9oUmW1yo/edit?usp=sharing"",""ตาก!L543"")"),0)</f>
        <v>0</v>
      </c>
      <c r="M648" s="521"/>
      <c r="N648" s="538">
        <f ca="1">IFERROR(__xludf.DUMMYFUNCTION("IMPORTRANGE(""https://docs.google.com/spreadsheets/d/11923uPwbBZFjjGgGUA6NLw09EwE0CqkOc4q9oUmW1yo/edit?usp=sharing"",""ตาก!M543"")"),0)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IFERROR(__xludf.DUMMYFUNCTION("IMPORTRANGE(""https://docs.google.com/spreadsheets/d/11923uPwbBZFjjGgGUA6NLw09EwE0CqkOc4q9oUmW1yo/edit?usp=sharing"",""ตาก!I544"")"),0)</f>
        <v>0</v>
      </c>
      <c r="J649" s="536">
        <f ca="1">IFERROR(__xludf.DUMMYFUNCTION("IMPORTRANGE(""https://docs.google.com/spreadsheets/d/11923uPwbBZFjjGgGUA6NLw09EwE0CqkOc4q9oUmW1yo/edit?usp=sharing"",""ตาก!J544"")"),0)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IFERROR(__xludf.DUMMYFUNCTION("IMPORTRANGE(""https://docs.google.com/spreadsheets/d/11923uPwbBZFjjGgGUA6NLw09EwE0CqkOc4q9oUmW1yo/edit?usp=sharing"",""ตาก!L544"")"),0)</f>
        <v>0</v>
      </c>
      <c r="M649" s="521"/>
      <c r="N649" s="538">
        <f ca="1">IFERROR(__xludf.DUMMYFUNCTION("IMPORTRANGE(""https://docs.google.com/spreadsheets/d/11923uPwbBZFjjGgGUA6NLw09EwE0CqkOc4q9oUmW1yo/edit?usp=sharing"",""ตาก!M544"")"),0)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IFERROR(__xludf.DUMMYFUNCTION("IMPORTRANGE(""https://docs.google.com/spreadsheets/d/11923uPwbBZFjjGgGUA6NLw09EwE0CqkOc4q9oUmW1yo/edit?usp=sharing"",""ตาก!I545"")"),0)</f>
        <v>0</v>
      </c>
      <c r="J650" s="536">
        <f ca="1">IFERROR(__xludf.DUMMYFUNCTION("IMPORTRANGE(""https://docs.google.com/spreadsheets/d/11923uPwbBZFjjGgGUA6NLw09EwE0CqkOc4q9oUmW1yo/edit?usp=sharing"",""ตาก!J545"")"),0)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IFERROR(__xludf.DUMMYFUNCTION("IMPORTRANGE(""https://docs.google.com/spreadsheets/d/11923uPwbBZFjjGgGUA6NLw09EwE0CqkOc4q9oUmW1yo/edit?usp=sharing"",""ตาก!L545"")"),0)</f>
        <v>0</v>
      </c>
      <c r="M650" s="521"/>
      <c r="N650" s="538">
        <f ca="1">IFERROR(__xludf.DUMMYFUNCTION("IMPORTRANGE(""https://docs.google.com/spreadsheets/d/11923uPwbBZFjjGgGUA6NLw09EwE0CqkOc4q9oUmW1yo/edit?usp=sharing"",""ตาก!M545"")"),0)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IFERROR(__xludf.DUMMYFUNCTION("IMPORTRANGE(""https://docs.google.com/spreadsheets/d/11923uPwbBZFjjGgGUA6NLw09EwE0CqkOc4q9oUmW1yo/edit?usp=sharing"",""ตาก!I546"")"),0)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IFERROR(__xludf.DUMMYFUNCTION("IMPORTRANGE(""https://docs.google.com/spreadsheets/d/11923uPwbBZFjjGgGUA6NLw09EwE0CqkOc4q9oUmW1yo/edit?usp=sharing"",""ตาก!L546"")"),0)</f>
        <v>0</v>
      </c>
      <c r="M651" s="521"/>
      <c r="N651" s="538">
        <f ca="1">IFERROR(__xludf.DUMMYFUNCTION("IMPORTRANGE(""https://docs.google.com/spreadsheets/d/11923uPwbBZFjjGgGUA6NLw09EwE0CqkOc4q9oUmW1yo/edit?usp=sharing"",""ตาก!M546"")"),0)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IFERROR(__xludf.DUMMYFUNCTION("IMPORTRANGE(""https://docs.google.com/spreadsheets/d/11923uPwbBZFjjGgGUA6NLw09EwE0CqkOc4q9oUmW1yo/edit?usp=sharing"",""ตาก!J547"")"),0)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IFERROR(__xludf.DUMMYFUNCTION("IMPORTRANGE(""https://docs.google.com/spreadsheets/d/11923uPwbBZFjjGgGUA6NLw09EwE0CqkOc4q9oUmW1yo/edit?usp=sharing"",""ตาก!J548"")"),0)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IFERROR(__xludf.DUMMYFUNCTION("IMPORTRANGE(""https://docs.google.com/spreadsheets/d/11923uPwbBZFjjGgGUA6NLw09EwE0CqkOc4q9oUmW1yo/edit?usp=sharing"",""ตาก!J550"")"),0)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IFERROR(__xludf.DUMMYFUNCTION("IMPORTRANGE(""https://docs.google.com/spreadsheets/d/11923uPwbBZFjjGgGUA6NLw09EwE0CqkOc4q9oUmW1yo/edit?usp=sharing"",""ตาก!J551"")"),0)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IFERROR(__xludf.DUMMYFUNCTION("IMPORTRANGE(""https://docs.google.com/spreadsheets/d/11923uPwbBZFjjGgGUA6NLw09EwE0CqkOc4q9oUmW1yo/edit?usp=sharing"",""ตาก!J552"")"),0)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IFERROR(__xludf.DUMMYFUNCTION("IMPORTRANGE(""https://docs.google.com/spreadsheets/d/11923uPwbBZFjjGgGUA6NLw09EwE0CqkOc4q9oUmW1yo/edit?usp=sharing"",""ตาก!J553"")"),0)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IFERROR(__xludf.DUMMYFUNCTION("IMPORTRANGE(""https://docs.google.com/spreadsheets/d/11923uPwbBZFjjGgGUA6NLw09EwE0CqkOc4q9oUmW1yo/edit?usp=sharing"",""ตาก!J554"")"),0)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IFERROR(__xludf.DUMMYFUNCTION("IMPORTRANGE(""https://docs.google.com/spreadsheets/d/11923uPwbBZFjjGgGUA6NLw09EwE0CqkOc4q9oUmW1yo/edit?usp=sharing"",""ตาก!J555"")"),0)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IFERROR(__xludf.DUMMYFUNCTION("IMPORTRANGE(""https://docs.google.com/spreadsheets/d/11923uPwbBZFjjGgGUA6NLw09EwE0CqkOc4q9oUmW1yo/edit?usp=sharing"",""ตาก!J556"")"),0)</f>
        <v>0</v>
      </c>
      <c r="K661" s="537"/>
      <c r="L661" s="522">
        <f ca="1">IFERROR(__xludf.DUMMYFUNCTION("IMPORTRANGE(""https://docs.google.com/spreadsheets/d/11923uPwbBZFjjGgGUA6NLw09EwE0CqkOc4q9oUmW1yo/edit?usp=sharing"",""ตาก!L556"")"),0)</f>
        <v>0</v>
      </c>
      <c r="M661" s="521"/>
      <c r="N661" s="538">
        <f ca="1">IFERROR(__xludf.DUMMYFUNCTION("IMPORTRANGE(""https://docs.google.com/spreadsheets/d/11923uPwbBZFjjGgGUA6NLw09EwE0CqkOc4q9oUmW1yo/edit?usp=sharing"",""ตาก!M556"")"),0)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IFERROR(__xludf.DUMMYFUNCTION("IMPORTRANGE(""https://docs.google.com/spreadsheets/d/11923uPwbBZFjjGgGUA6NLw09EwE0CqkOc4q9oUmW1yo/edit?usp=sharing"",""ตาก!J557"")"),0)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IFERROR(__xludf.DUMMYFUNCTION("IMPORTRANGE(""https://docs.google.com/spreadsheets/d/11923uPwbBZFjjGgGUA6NLw09EwE0CqkOc4q9oUmW1yo/edit?usp=sharing"",""ตาก!I558"")"),0)</f>
        <v>0</v>
      </c>
      <c r="J663" s="536">
        <f ca="1">IFERROR(__xludf.DUMMYFUNCTION("IMPORTRANGE(""https://docs.google.com/spreadsheets/d/11923uPwbBZFjjGgGUA6NLw09EwE0CqkOc4q9oUmW1yo/edit?usp=sharing"",""ตาก!J558"")"),0)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IFERROR(__xludf.DUMMYFUNCTION("IMPORTRANGE(""https://docs.google.com/spreadsheets/d/11923uPwbBZFjjGgGUA6NLw09EwE0CqkOc4q9oUmW1yo/edit?usp=sharing"",""ตาก!I560"")"),0)</f>
        <v>0</v>
      </c>
      <c r="J665" s="536">
        <f ca="1">IFERROR(__xludf.DUMMYFUNCTION("IMPORTRANGE(""https://docs.google.com/spreadsheets/d/11923uPwbBZFjjGgGUA6NLw09EwE0CqkOc4q9oUmW1yo/edit?usp=sharing"",""ตาก!J560"")"),0)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IFERROR(__xludf.DUMMYFUNCTION("IMPORTRANGE(""https://docs.google.com/spreadsheets/d/11923uPwbBZFjjGgGUA6NLw09EwE0CqkOc4q9oUmW1yo/edit?usp=sharing"",""ตาก!L560"")"),0)</f>
        <v>0</v>
      </c>
      <c r="M665" s="521"/>
      <c r="N665" s="538">
        <f ca="1">IFERROR(__xludf.DUMMYFUNCTION("IMPORTRANGE(""https://docs.google.com/spreadsheets/d/11923uPwbBZFjjGgGUA6NLw09EwE0CqkOc4q9oUmW1yo/edit?usp=sharing"",""ตาก!M560"")"),0)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IFERROR(__xludf.DUMMYFUNCTION("IMPORTRANGE(""https://docs.google.com/spreadsheets/d/11923uPwbBZFjjGgGUA6NLw09EwE0CqkOc4q9oUmW1yo/edit?usp=sharing"",""ตาก!J561"")"),0)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IFERROR(__xludf.DUMMYFUNCTION("IMPORTRANGE(""https://docs.google.com/spreadsheets/d/11923uPwbBZFjjGgGUA6NLw09EwE0CqkOc4q9oUmW1yo/edit?usp=sharing"",""ตาก!J562"")"),0)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IFERROR(__xludf.DUMMYFUNCTION("IMPORTRANGE(""https://docs.google.com/spreadsheets/d/11923uPwbBZFjjGgGUA6NLw09EwE0CqkOc4q9oUmW1yo/edit?usp=sharing"",""ตาก!I563"")"),0)</f>
        <v>0</v>
      </c>
      <c r="J668" s="536">
        <f ca="1">IFERROR(__xludf.DUMMYFUNCTION("IMPORTRANGE(""https://docs.google.com/spreadsheets/d/11923uPwbBZFjjGgGUA6NLw09EwE0CqkOc4q9oUmW1yo/edit?usp=sharing"",""ตาก!J563"")"),0)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IFERROR(__xludf.DUMMYFUNCTION("IMPORTRANGE(""https://docs.google.com/spreadsheets/d/11923uPwbBZFjjGgGUA6NLw09EwE0CqkOc4q9oUmW1yo/edit?usp=sharing"",""ตาก!L563"")"),0)</f>
        <v>0</v>
      </c>
      <c r="M668" s="521"/>
      <c r="N668" s="538">
        <f ca="1">IFERROR(__xludf.DUMMYFUNCTION("IMPORTRANGE(""https://docs.google.com/spreadsheets/d/11923uPwbBZFjjGgGUA6NLw09EwE0CqkOc4q9oUmW1yo/edit?usp=sharing"",""ตาก!M563"")"),0)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IFERROR(__xludf.DUMMYFUNCTION("IMPORTRANGE(""https://docs.google.com/spreadsheets/d/11923uPwbBZFjjGgGUA6NLw09EwE0CqkOc4q9oUmW1yo/edit?usp=sharing"",""ตาก!J564"")"),0)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IFERROR(__xludf.DUMMYFUNCTION("IMPORTRANGE(""https://docs.google.com/spreadsheets/d/11923uPwbBZFjjGgGUA6NLw09EwE0CqkOc4q9oUmW1yo/edit?usp=sharing"",""ตาก!J565"")"),0)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IFERROR(__xludf.DUMMYFUNCTION("IMPORTRANGE(""https://docs.google.com/spreadsheets/d/11923uPwbBZFjjGgGUA6NLw09EwE0CqkOc4q9oUmW1yo/edit?usp=sharing"",""ตาก!I566"")"),0)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IFERROR(__xludf.DUMMYFUNCTION("IMPORTRANGE(""https://docs.google.com/spreadsheets/d/11923uPwbBZFjjGgGUA6NLw09EwE0CqkOc4q9oUmW1yo/edit?usp=sharing"",""ตาก!L566"")"),0)</f>
        <v>0</v>
      </c>
      <c r="M671" s="521"/>
      <c r="N671" s="538">
        <f ca="1">IFERROR(__xludf.DUMMYFUNCTION("IMPORTRANGE(""https://docs.google.com/spreadsheets/d/11923uPwbBZFjjGgGUA6NLw09EwE0CqkOc4q9oUmW1yo/edit?usp=sharing"",""ตาก!M566"")"),0)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IFERROR(__xludf.DUMMYFUNCTION("IMPORTRANGE(""https://docs.google.com/spreadsheets/d/11923uPwbBZFjjGgGUA6NLw09EwE0CqkOc4q9oUmW1yo/edit?usp=sharing"",""ตาก!J567"")"),0)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IFERROR(__xludf.DUMMYFUNCTION("IMPORTRANGE(""https://docs.google.com/spreadsheets/d/11923uPwbBZFjjGgGUA6NLw09EwE0CqkOc4q9oUmW1yo/edit?usp=sharing"",""ตาก!J568"")"),0)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IFERROR(__xludf.DUMMYFUNCTION("IMPORTRANGE(""https://docs.google.com/spreadsheets/d/11923uPwbBZFjjGgGUA6NLw09EwE0CqkOc4q9oUmW1yo/edit?usp=sharing"",""ตาก!J569"")"),0)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IFERROR(__xludf.DUMMYFUNCTION("IMPORTRANGE(""https://docs.google.com/spreadsheets/d/11923uPwbBZFjjGgGUA6NLw09EwE0CqkOc4q9oUmW1yo/edit?usp=sharing"",""ตาก!J570"")"),0)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IFERROR(__xludf.DUMMYFUNCTION("IMPORTRANGE(""https://docs.google.com/spreadsheets/d/11923uPwbBZFjjGgGUA6NLw09EwE0CqkOc4q9oUmW1yo/edit?usp=sharing"",""ตาก!J571"")"),0)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IFERROR(__xludf.DUMMYFUNCTION("IMPORTRANGE(""https://docs.google.com/spreadsheets/d/11923uPwbBZFjjGgGUA6NLw09EwE0CqkOc4q9oUmW1yo/edit?usp=sharing"",""ตาก!J572"")"),0)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3:P3"/>
    <mergeCell ref="A2:P2"/>
    <mergeCell ref="A1:P1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268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6452228</v>
      </c>
      <c r="M8" s="23">
        <f t="shared" ca="1" si="0"/>
        <v>4257003</v>
      </c>
      <c r="N8" s="23">
        <f t="shared" ca="1" si="0"/>
        <v>4456177.1099999994</v>
      </c>
      <c r="O8" s="22">
        <f t="shared" ref="O8:O16" ca="1" si="1">IF(L8&gt;0,N8*100/L8,0)</f>
        <v>69.06416062792573</v>
      </c>
      <c r="P8" s="22">
        <f t="shared" ref="P8:P16" ca="1" si="2">IF(M8&gt;0,N8*100/M8,0)</f>
        <v>104.67874018411543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6452228</v>
      </c>
      <c r="M10" s="30">
        <f t="shared" ca="1" si="4"/>
        <v>4257003</v>
      </c>
      <c r="N10" s="30">
        <f t="shared" ca="1" si="4"/>
        <v>4456177.1099999994</v>
      </c>
      <c r="O10" s="29">
        <f t="shared" ca="1" si="1"/>
        <v>69.06416062792573</v>
      </c>
      <c r="P10" s="29">
        <f t="shared" ca="1" si="2"/>
        <v>104.67874018411543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6254828</v>
      </c>
      <c r="M12" s="39">
        <f t="shared" ca="1" si="6"/>
        <v>4059603</v>
      </c>
      <c r="N12" s="39">
        <f t="shared" ca="1" si="6"/>
        <v>4258777.1099999994</v>
      </c>
      <c r="O12" s="39">
        <f t="shared" ca="1" si="1"/>
        <v>68.08783726746762</v>
      </c>
      <c r="P12" s="39">
        <f t="shared" ca="1" si="2"/>
        <v>104.90624600484331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2242900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4011928</v>
      </c>
      <c r="M14" s="39">
        <f t="shared" si="8"/>
        <v>0</v>
      </c>
      <c r="N14" s="39">
        <f t="shared" ca="1" si="8"/>
        <v>1107568.83</v>
      </c>
      <c r="O14" s="39">
        <f t="shared" ca="1" si="1"/>
        <v>27.606896983196108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197400</v>
      </c>
      <c r="M16" s="39">
        <f t="shared" ca="1" si="10"/>
        <v>197400</v>
      </c>
      <c r="N16" s="39">
        <f t="shared" ca="1" si="10"/>
        <v>197400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4150115</v>
      </c>
      <c r="M18" s="23">
        <f t="shared" ca="1" si="11"/>
        <v>4257003</v>
      </c>
      <c r="N18" s="23">
        <f t="shared" ca="1" si="11"/>
        <v>3348608.2799999993</v>
      </c>
      <c r="O18" s="22">
        <f t="shared" ref="O18:O20" ca="1" si="12">IF(L18&gt;0,N18*100/L18,0)</f>
        <v>80.687120236427162</v>
      </c>
      <c r="P18" s="22">
        <f t="shared" ref="P18:P26" ca="1" si="13">IF(M18&gt;0,N18*100/M18,0)</f>
        <v>78.661167962531366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4150115</v>
      </c>
      <c r="M20" s="30">
        <f t="shared" ca="1" si="15"/>
        <v>4257003</v>
      </c>
      <c r="N20" s="30">
        <f t="shared" ca="1" si="15"/>
        <v>3348608.2799999993</v>
      </c>
      <c r="O20" s="29">
        <f t="shared" ca="1" si="12"/>
        <v>80.687120236427162</v>
      </c>
      <c r="P20" s="29">
        <f t="shared" ca="1" si="13"/>
        <v>78.661167962531366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3952715</v>
      </c>
      <c r="M22" s="42">
        <f t="shared" ca="1" si="18"/>
        <v>4059603</v>
      </c>
      <c r="N22" s="39">
        <f t="shared" ca="1" si="18"/>
        <v>3151208.2799999993</v>
      </c>
      <c r="O22" s="39">
        <f t="shared" ca="1" si="17"/>
        <v>79.72262811763558</v>
      </c>
      <c r="P22" s="39">
        <f t="shared" ca="1" si="13"/>
        <v>77.623557771535772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2242900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1709815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197400</v>
      </c>
      <c r="M26" s="50">
        <f t="shared" ca="1" si="22"/>
        <v>197400</v>
      </c>
      <c r="N26" s="50">
        <f t="shared" ca="1" si="22"/>
        <v>197400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2302113</v>
      </c>
      <c r="M28" s="23">
        <f t="shared" si="23"/>
        <v>0</v>
      </c>
      <c r="N28" s="23">
        <f t="shared" ca="1" si="23"/>
        <v>1107568.83</v>
      </c>
      <c r="O28" s="22">
        <f t="shared" ref="O28:O30" ca="1" si="24">IF(L28&gt;0,N28*100/L28,0)</f>
        <v>48.110967185364053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2302113</v>
      </c>
      <c r="M30" s="30">
        <f t="shared" si="27"/>
        <v>0</v>
      </c>
      <c r="N30" s="30">
        <f t="shared" ca="1" si="27"/>
        <v>1107568.83</v>
      </c>
      <c r="O30" s="29">
        <f t="shared" ca="1" si="24"/>
        <v>48.110967185364053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2302113</v>
      </c>
      <c r="M32" s="39">
        <f t="shared" si="30"/>
        <v>0</v>
      </c>
      <c r="N32" s="39">
        <f t="shared" ca="1" si="30"/>
        <v>1107568.83</v>
      </c>
      <c r="O32" s="39">
        <f t="shared" ca="1" si="29"/>
        <v>48.110967185364053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2302113</v>
      </c>
      <c r="M34" s="39">
        <f t="shared" si="32"/>
        <v>0</v>
      </c>
      <c r="N34" s="39">
        <f t="shared" ca="1" si="32"/>
        <v>1107568.83</v>
      </c>
      <c r="O34" s="39">
        <f t="shared" ca="1" si="29"/>
        <v>48.110967185364053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4150115</v>
      </c>
      <c r="M37" s="55">
        <f t="shared" ca="1" si="33"/>
        <v>4257003</v>
      </c>
      <c r="N37" s="55">
        <f t="shared" ca="1" si="33"/>
        <v>3348608.2799999993</v>
      </c>
      <c r="O37" s="56">
        <f t="shared" ca="1" si="29"/>
        <v>80.687120236427162</v>
      </c>
      <c r="P37" s="56">
        <f t="shared" ca="1" si="25"/>
        <v>78.661167962531366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952200</v>
      </c>
      <c r="M41" s="79">
        <f t="shared" ca="1" si="34"/>
        <v>1008280</v>
      </c>
      <c r="N41" s="79">
        <f t="shared" ca="1" si="34"/>
        <v>830233.36</v>
      </c>
      <c r="O41" s="78">
        <f t="shared" ref="O41:O43" ca="1" si="35">IF(L41&gt;0,N41*100/L41,0)</f>
        <v>87.191069103129593</v>
      </c>
      <c r="P41" s="78">
        <f t="shared" ref="P41:P43" ca="1" si="36">IF(M41&gt;0,N41*100/M41,0)</f>
        <v>82.341547982703219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952200</v>
      </c>
      <c r="M43" s="79">
        <f t="shared" ca="1" si="38"/>
        <v>1008280</v>
      </c>
      <c r="N43" s="79">
        <f t="shared" ca="1" si="38"/>
        <v>830233.36</v>
      </c>
      <c r="O43" s="78">
        <f t="shared" ca="1" si="35"/>
        <v>87.191069103129593</v>
      </c>
      <c r="P43" s="78">
        <f t="shared" ca="1" si="36"/>
        <v>82.341547982703219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952200</v>
      </c>
      <c r="M45" s="50">
        <f ca="1">IFERROR(__xludf.DUMMYFUNCTION("IMPORTRANGE(""https://docs.google.com/spreadsheets/d/1Yj_ptqi66GCucihVvJfMjLAmec39IyEx_6qawtMGysU/edit?usp=sharing"",""สบก!Q24"")"),1008280)</f>
        <v>1008280</v>
      </c>
      <c r="N45" s="50">
        <f ca="1">IFERROR(__xludf.DUMMYFUNCTION("IMPORTRANGE(""https://docs.google.com/spreadsheets/d/1Yj_ptqi66GCucihVvJfMjLAmec39IyEx_6qawtMGysU/edit?usp=sharing"",""สบก!R24"")"),830233.36)</f>
        <v>830233.36</v>
      </c>
      <c r="O45" s="39">
        <f ca="1">IF(L45&gt;0,N45*100/L45,0)</f>
        <v>87.191069103129593</v>
      </c>
      <c r="P45" s="39">
        <f ca="1">IF(M45&gt;0,N45*100/M45,0)</f>
        <v>82.341547982703219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IFERROR(__xludf.DUMMYFUNCTION("IMPORTRANGE(""https://docs.google.com/spreadsheets/d/1Yj_ptqi66GCucihVvJfMjLAmec39IyEx_6qawtMGysU/edit?usp=sharing"",""สบก!M24"")"),952200)</f>
        <v>952200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IFERROR(__xludf.DUMMYFUNCTION("IMPORTRANGE(""https://docs.google.com/spreadsheets/d/1Yj_ptqi66GCucihVvJfMjLAmec39IyEx_6qawtMGysU/edit?usp=sharing"",""สบก!N24"")"),0)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IFERROR(__xludf.DUMMYFUNCTION("IMPORTRANGE(""https://docs.google.com/spreadsheets/d/1Yj_ptqi66GCucihVvJfMjLAmec39IyEx_6qawtMGysU/edit?usp=sharing"",""สบก!O24"")"),0)</f>
        <v>0</v>
      </c>
      <c r="M49" s="50"/>
      <c r="N49" s="50">
        <f ca="1">IFERROR(__xludf.DUMMYFUNCTION("IMPORTRANGE(""https://docs.google.com/spreadsheets/d/1Yj_ptqi66GCucihVvJfMjLAmec39IyEx_6qawtMGysU/edit?usp=sharing"",""สบก!S24"")"),0)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478448</v>
      </c>
      <c r="N53" s="121">
        <f t="shared" ca="1" si="39"/>
        <v>468397</v>
      </c>
      <c r="O53" s="120">
        <f t="shared" ref="O53:O55" ca="1" si="40">IF(L53&gt;0,N53*100/L53,0)</f>
        <v>104.08822222222223</v>
      </c>
      <c r="P53" s="120">
        <f t="shared" ref="P53:P55" ca="1" si="41">IF(M53&gt;0,N53*100/M53,0)</f>
        <v>97.899249239206767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478448</v>
      </c>
      <c r="N55" s="121">
        <f t="shared" ca="1" si="43"/>
        <v>468397</v>
      </c>
      <c r="O55" s="120">
        <f t="shared" ca="1" si="40"/>
        <v>104.08822222222223</v>
      </c>
      <c r="P55" s="120">
        <f t="shared" ca="1" si="41"/>
        <v>97.899249239206767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IFERROR(__xludf.DUMMYFUNCTION("IMPORTRANGE(""https://docs.google.com/spreadsheets/d/1Yj_ptqi66GCucihVvJfMjLAmec39IyEx_6qawtMGysU/edit?usp=sharing"",""สบก!Z24"")"),478448)</f>
        <v>478448</v>
      </c>
      <c r="N57" s="50">
        <f ca="1">IFERROR(__xludf.DUMMYFUNCTION("IMPORTRANGE(""https://docs.google.com/spreadsheets/d/1Yj_ptqi66GCucihVvJfMjLAmec39IyEx_6qawtMGysU/edit?usp=sharing"",""สบก!AA24"")"),468397)</f>
        <v>468397</v>
      </c>
      <c r="O57" s="39">
        <f ca="1">IF(L57&gt;0,N57*100/L57,0)</f>
        <v>104.08822222222223</v>
      </c>
      <c r="P57" s="39">
        <f ca="1">IF(M57&gt;0,N57*100/M57,0)</f>
        <v>97.899249239206767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IFERROR(__xludf.DUMMYFUNCTION("IMPORTRANGE(""https://docs.google.com/spreadsheets/d/1Yj_ptqi66GCucihVvJfMjLAmec39IyEx_6qawtMGysU/edit?usp=sharing"",""สบก!V24"")"),450000)</f>
        <v>450000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IFERROR(__xludf.DUMMYFUNCTION("IMPORTRANGE(""https://docs.google.com/spreadsheets/d/1Yj_ptqi66GCucihVvJfMjLAmec39IyEx_6qawtMGysU/edit?usp=sharing"",""สบก!W24"")"),0)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IFERROR(__xludf.DUMMYFUNCTION("IMPORTRANGE(""https://docs.google.com/spreadsheets/d/1Yj_ptqi66GCucihVvJfMjLAmec39IyEx_6qawtMGysU/edit?usp=sharing"",""สบก!X24"")"),0)</f>
        <v>0</v>
      </c>
      <c r="M61" s="50"/>
      <c r="N61" s="50">
        <f ca="1">IFERROR(__xludf.DUMMYFUNCTION("IMPORTRANGE(""https://docs.google.com/spreadsheets/d/1Yj_ptqi66GCucihVvJfMjLAmec39IyEx_6qawtMGysU/edit?usp=sharing"",""สบก!AB24"")"),0)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IFERROR(__xludf.DUMMYFUNCTION("IMPORTRANGE(""https://docs.google.com/spreadsheets/d/11923uPwbBZFjjGgGUA6NLw09EwE0CqkOc4q9oUmW1yo/edit?usp=sharing"",""นครสวรรค์!I9"")"),1)</f>
        <v>1</v>
      </c>
      <c r="J64" s="142">
        <f ca="1">IFERROR(__xludf.DUMMYFUNCTION("IMPORTRANGE(""https://docs.google.com/spreadsheets/d/11923uPwbBZFjjGgGUA6NLw09EwE0CqkOc4q9oUmW1yo/edit?usp=sharing"",""นครสวรรค์!J9"")"),1)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IFERROR(__xludf.DUMMYFUNCTION("IMPORTRANGE(""https://docs.google.com/spreadsheets/d/11923uPwbBZFjjGgGUA6NLw09EwE0CqkOc4q9oUmW1yo/edit?usp=sharing"",""นครสวรรค์!I10"")"),40)</f>
        <v>40</v>
      </c>
      <c r="J65" s="142">
        <f ca="1">IFERROR(__xludf.DUMMYFUNCTION("IMPORTRANGE(""https://docs.google.com/spreadsheets/d/11923uPwbBZFjjGgGUA6NLw09EwE0CqkOc4q9oUmW1yo/edit?usp=sharing"",""นครสวรรค์!J10"")"),40)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778520</v>
      </c>
      <c r="N66" s="152">
        <f t="shared" ca="1" si="45"/>
        <v>669891.18999999994</v>
      </c>
      <c r="O66" s="151">
        <f t="shared" ref="O66:O68" ca="1" si="46">IF(L66&gt;0,N66*100/L66,0)</f>
        <v>89.857973172367522</v>
      </c>
      <c r="P66" s="151">
        <f t="shared" ref="P66:P68" ca="1" si="47">IF(M66&gt;0,N66*100/M66,0)</f>
        <v>86.04675409751836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745500</v>
      </c>
      <c r="M68" s="88">
        <f t="shared" ca="1" si="49"/>
        <v>778520</v>
      </c>
      <c r="N68" s="88">
        <f t="shared" ca="1" si="49"/>
        <v>669891.18999999994</v>
      </c>
      <c r="O68" s="156">
        <f t="shared" ca="1" si="46"/>
        <v>89.857973172367522</v>
      </c>
      <c r="P68" s="156">
        <f t="shared" ca="1" si="47"/>
        <v>86.04675409751836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745500</v>
      </c>
      <c r="M70" s="167">
        <f ca="1">IFERROR(__xludf.DUMMYFUNCTION("IMPORTRANGE(""https://docs.google.com/spreadsheets/d/1Yj_ptqi66GCucihVvJfMjLAmec39IyEx_6qawtMGysU/edit?usp=sharing"",""สบก!AI24"")"),778520)</f>
        <v>778520</v>
      </c>
      <c r="N70" s="168">
        <f ca="1">IFERROR(__xludf.DUMMYFUNCTION("IMPORTRANGE(""https://docs.google.com/spreadsheets/d/1Yj_ptqi66GCucihVvJfMjLAmec39IyEx_6qawtMGysU/edit?usp=sharing"",""สบก!AJ24"")"),669891.19)</f>
        <v>669891.18999999994</v>
      </c>
      <c r="O70" s="168">
        <f ca="1">IF(L70&gt;0,N70*100/L70,0)</f>
        <v>89.857973172367522</v>
      </c>
      <c r="P70" s="168">
        <f ca="1">IF(M70&gt;0,N70*100/M70,0)</f>
        <v>86.04675409751836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IFERROR(__xludf.DUMMYFUNCTION("IMPORTRANGE(""https://docs.google.com/spreadsheets/d/1Yj_ptqi66GCucihVvJfMjLAmec39IyEx_6qawtMGysU/edit?usp=sharing"",""สบก!AE24"")"),311500)</f>
        <v>311500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IFERROR(__xludf.DUMMYFUNCTION("IMPORTRANGE(""https://docs.google.com/spreadsheets/d/1Yj_ptqi66GCucihVvJfMjLAmec39IyEx_6qawtMGysU/edit?usp=sharing"",""สบก!AF24"")"),434000)</f>
        <v>434000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IFERROR(__xludf.DUMMYFUNCTION("IMPORTRANGE(""https://docs.google.com/spreadsheets/d/1Yj_ptqi66GCucihVvJfMjLAmec39IyEx_6qawtMGysU/edit?usp=sharing"",""สบก!AG24"")"),0)</f>
        <v>0</v>
      </c>
      <c r="M74" s="50"/>
      <c r="N74" s="50">
        <f ca="1">IFERROR(__xludf.DUMMYFUNCTION("IMPORTRANGE(""https://docs.google.com/spreadsheets/d/1Yj_ptqi66GCucihVvJfMjLAmec39IyEx_6qawtMGysU/edit?usp=sharing"",""สบก!AK24"")"),0)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IFERROR(__xludf.DUMMYFUNCTION("IMPORTRANGE(""https://docs.google.com/spreadsheets/d/11923uPwbBZFjjGgGUA6NLw09EwE0CqkOc4q9oUmW1yo/edit?usp=sharing"",""นครสวรรค์!J16"")"),0)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IFERROR(__xludf.DUMMYFUNCTION("IMPORTRANGE(""https://docs.google.com/spreadsheets/d/11923uPwbBZFjjGgGUA6NLw09EwE0CqkOc4q9oUmW1yo/edit?usp=sharing"",""นครสวรรค์!J17"")"),1)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IFERROR(__xludf.DUMMYFUNCTION("IMPORTRANGE(""https://docs.google.com/spreadsheets/d/11923uPwbBZFjjGgGUA6NLw09EwE0CqkOc4q9oUmW1yo/edit?usp=sharing"",""นครสวรรค์!J18"")"),1)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IFERROR(__xludf.DUMMYFUNCTION("IMPORTRANGE(""https://docs.google.com/spreadsheets/d/11923uPwbBZFjjGgGUA6NLw09EwE0CqkOc4q9oUmW1yo/edit?usp=sharing"",""นครสวรรค์!J19"")"),1)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IFERROR(__xludf.DUMMYFUNCTION("IMPORTRANGE(""https://docs.google.com/spreadsheets/d/11923uPwbBZFjjGgGUA6NLw09EwE0CqkOc4q9oUmW1yo/edit?usp=sharing"",""นครสวรรค์!I20"")"),1)</f>
        <v>1</v>
      </c>
      <c r="J80" s="200">
        <f ca="1">IFERROR(__xludf.DUMMYFUNCTION("IMPORTRANGE(""https://docs.google.com/spreadsheets/d/11923uPwbBZFjjGgGUA6NLw09EwE0CqkOc4q9oUmW1yo/edit?usp=sharing"",""นครสวรรค์!J20"")"),1)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IFERROR(__xludf.DUMMYFUNCTION("IMPORTRANGE(""https://docs.google.com/spreadsheets/d/11923uPwbBZFjjGgGUA6NLw09EwE0CqkOc4q9oUmW1yo/edit?usp=sharing"",""นครสวรรค์!I21"")"),40)</f>
        <v>40</v>
      </c>
      <c r="J81" s="200">
        <f ca="1">IFERROR(__xludf.DUMMYFUNCTION("IMPORTRANGE(""https://docs.google.com/spreadsheets/d/11923uPwbBZFjjGgGUA6NLw09EwE0CqkOc4q9oUmW1yo/edit?usp=sharing"",""นครสวรรค์!J21"")"),40)</f>
        <v>40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IFERROR(__xludf.DUMMYFUNCTION("IMPORTRANGE(""https://docs.google.com/spreadsheets/d/11923uPwbBZFjjGgGUA6NLw09EwE0CqkOc4q9oUmW1yo/edit?usp=sharing"",""นครสวรรค์!I22"")"),0)</f>
        <v>0</v>
      </c>
      <c r="J82" s="203">
        <f ca="1">IFERROR(__xludf.DUMMYFUNCTION("IMPORTRANGE(""https://docs.google.com/spreadsheets/d/11923uPwbBZFjjGgGUA6NLw09EwE0CqkOc4q9oUmW1yo/edit?usp=sharing"",""นครสวรรค์!J22"")"),0)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IFERROR(__xludf.DUMMYFUNCTION("IMPORTRANGE(""https://docs.google.com/spreadsheets/d/11923uPwbBZFjjGgGUA6NLw09EwE0CqkOc4q9oUmW1yo/edit?usp=sharing"",""นครสวรรค์!I23"")"),0)</f>
        <v>0</v>
      </c>
      <c r="J83" s="203">
        <f ca="1">IFERROR(__xludf.DUMMYFUNCTION("IMPORTRANGE(""https://docs.google.com/spreadsheets/d/11923uPwbBZFjjGgGUA6NLw09EwE0CqkOc4q9oUmW1yo/edit?usp=sharing"",""นครสวรรค์!J23"")"),0)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IFERROR(__xludf.DUMMYFUNCTION("IMPORTRANGE(""https://docs.google.com/spreadsheets/d/11923uPwbBZFjjGgGUA6NLw09EwE0CqkOc4q9oUmW1yo/edit?usp=sharing"",""นครสวรรค์!I24"")"),1)</f>
        <v>1</v>
      </c>
      <c r="J84" s="188">
        <f ca="1">IFERROR(__xludf.DUMMYFUNCTION("IMPORTRANGE(""https://docs.google.com/spreadsheets/d/11923uPwbBZFjjGgGUA6NLw09EwE0CqkOc4q9oUmW1yo/edit?usp=sharing"",""นครสวรรค์!J24"")"),1)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IFERROR(__xludf.DUMMYFUNCTION("IMPORTRANGE(""https://docs.google.com/spreadsheets/d/11923uPwbBZFjjGgGUA6NLw09EwE0CqkOc4q9oUmW1yo/edit?usp=sharing"",""นครสวรรค์!I25"")"),40)</f>
        <v>40</v>
      </c>
      <c r="J85" s="188">
        <f ca="1">IFERROR(__xludf.DUMMYFUNCTION("IMPORTRANGE(""https://docs.google.com/spreadsheets/d/11923uPwbBZFjjGgGUA6NLw09EwE0CqkOc4q9oUmW1yo/edit?usp=sharing"",""นครสวรรค์!J25"")"),40)</f>
        <v>40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IFERROR(__xludf.DUMMYFUNCTION("IMPORTRANGE(""https://docs.google.com/spreadsheets/d/11923uPwbBZFjjGgGUA6NLw09EwE0CqkOc4q9oUmW1yo/edit?usp=sharing"",""นครสวรรค์!I26"")"),0)</f>
        <v>0</v>
      </c>
      <c r="J86" s="203">
        <f ca="1">IFERROR(__xludf.DUMMYFUNCTION("IMPORTRANGE(""https://docs.google.com/spreadsheets/d/11923uPwbBZFjjGgGUA6NLw09EwE0CqkOc4q9oUmW1yo/edit?usp=sharing"",""นครสวรรค์!J26"")"),0)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IFERROR(__xludf.DUMMYFUNCTION("IMPORTRANGE(""https://docs.google.com/spreadsheets/d/11923uPwbBZFjjGgGUA6NLw09EwE0CqkOc4q9oUmW1yo/edit?usp=sharing"",""นครสวรรค์!I27"")"),0)</f>
        <v>0</v>
      </c>
      <c r="J87" s="203">
        <f ca="1">IFERROR(__xludf.DUMMYFUNCTION("IMPORTRANGE(""https://docs.google.com/spreadsheets/d/11923uPwbBZFjjGgGUA6NLw09EwE0CqkOc4q9oUmW1yo/edit?usp=sharing"",""นครสวรรค์!J27"")"),0)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IFERROR(__xludf.DUMMYFUNCTION("IMPORTRANGE(""https://docs.google.com/spreadsheets/d/11923uPwbBZFjjGgGUA6NLw09EwE0CqkOc4q9oUmW1yo/edit?usp=sharing"",""นครสวรรค์!I28"")"),1)</f>
        <v>1</v>
      </c>
      <c r="J88" s="203">
        <f ca="1">IFERROR(__xludf.DUMMYFUNCTION("IMPORTRANGE(""https://docs.google.com/spreadsheets/d/11923uPwbBZFjjGgGUA6NLw09EwE0CqkOc4q9oUmW1yo/edit?usp=sharing"",""นครสวรรค์!J28"")"),0)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IFERROR(__xludf.DUMMYFUNCTION("IMPORTRANGE(""https://docs.google.com/spreadsheets/d/11923uPwbBZFjjGgGUA6NLw09EwE0CqkOc4q9oUmW1yo/edit?usp=sharing"",""นครสวรรค์!J29"")"),0)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IFERROR(__xludf.DUMMYFUNCTION("IMPORTRANGE(""https://docs.google.com/spreadsheets/d/11923uPwbBZFjjGgGUA6NLw09EwE0CqkOc4q9oUmW1yo/edit?usp=sharing"",""นครสวรรค์!J30"")"),0)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IFERROR(__xludf.DUMMYFUNCTION("IMPORTRANGE(""https://docs.google.com/spreadsheets/d/11923uPwbBZFjjGgGUA6NLw09EwE0CqkOc4q9oUmW1yo/edit?usp=sharing"",""นครสวรรค์!I32"")"),4)</f>
        <v>4</v>
      </c>
      <c r="J92" s="142">
        <f ca="1">IFERROR(__xludf.DUMMYFUNCTION("IMPORTRANGE(""https://docs.google.com/spreadsheets/d/11923uPwbBZFjjGgGUA6NLw09EwE0CqkOc4q9oUmW1yo/edit?usp=sharing"",""นครสวรรค์!J32"")"),4)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IFERROR(__xludf.DUMMYFUNCTION("IMPORTRANGE(""https://docs.google.com/spreadsheets/d/11923uPwbBZFjjGgGUA6NLw09EwE0CqkOc4q9oUmW1yo/edit?usp=sharing"",""นครสวรรค์!I33"")"),1)</f>
        <v>1</v>
      </c>
      <c r="J93" s="142">
        <f ca="1">IFERROR(__xludf.DUMMYFUNCTION("IMPORTRANGE(""https://docs.google.com/spreadsheets/d/11923uPwbBZFjjGgGUA6NLw09EwE0CqkOc4q9oUmW1yo/edit?usp=sharing"",""นครสวรรค์!J33"")"),1)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120520</v>
      </c>
      <c r="O94" s="151">
        <f t="shared" ref="O94:O96" ca="1" si="53">IF(L94&gt;0,N94*100/L94,0)</f>
        <v>56.186480186480189</v>
      </c>
      <c r="P94" s="151">
        <f t="shared" ref="P94:P96" ca="1" si="54">IF(M94&gt;0,N94*100/M94,0)</f>
        <v>56.186480186480189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120520</v>
      </c>
      <c r="O96" s="156">
        <f t="shared" ca="1" si="53"/>
        <v>56.186480186480189</v>
      </c>
      <c r="P96" s="156">
        <f t="shared" ca="1" si="54"/>
        <v>56.186480186480189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IFERROR(__xludf.DUMMYFUNCTION("IMPORTRANGE(""https://docs.google.com/spreadsheets/d/1Yj_ptqi66GCucihVvJfMjLAmec39IyEx_6qawtMGysU/edit?usp=sharing"",""สบก!AR24"")"),122100)</f>
        <v>122100</v>
      </c>
      <c r="N98" s="168">
        <f ca="1">IFERROR(__xludf.DUMMYFUNCTION("IMPORTRANGE(""https://docs.google.com/spreadsheets/d/1Yj_ptqi66GCucihVvJfMjLAmec39IyEx_6qawtMGysU/edit?usp=sharing"",""สบก!AS24"")"),28120)</f>
        <v>28120</v>
      </c>
      <c r="O98" s="168">
        <f ca="1">IF(L98&gt;0,N98*100/L98,0)</f>
        <v>23.030303030303031</v>
      </c>
      <c r="P98" s="168">
        <f ca="1">IF(M98&gt;0,N98*100/M98,0)</f>
        <v>23.030303030303031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IFERROR(__xludf.DUMMYFUNCTION("IMPORTRANGE(""https://docs.google.com/spreadsheets/d/1Yj_ptqi66GCucihVvJfMjLAmec39IyEx_6qawtMGysU/edit?usp=sharing"",""สบก!AN24"")"),0)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IFERROR(__xludf.DUMMYFUNCTION("IMPORTRANGE(""https://docs.google.com/spreadsheets/d/1Yj_ptqi66GCucihVvJfMjLAmec39IyEx_6qawtMGysU/edit?usp=sharing"",""สบก!AO24"")"),122100)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IFERROR(__xludf.DUMMYFUNCTION("IMPORTRANGE(""https://docs.google.com/spreadsheets/d/1Yj_ptqi66GCucihVvJfMjLAmec39IyEx_6qawtMGysU/edit?usp=sharing"",""สบก!AP24"")"),92400)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IFERROR(__xludf.DUMMYFUNCTION("IMPORTRANGE(""https://docs.google.com/spreadsheets/d/1Yj_ptqi66GCucihVvJfMjLAmec39IyEx_6qawtMGysU/edit?usp=sharing"",""สบก!AT24"")"),92400)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IFERROR(__xludf.DUMMYFUNCTION("IMPORTRANGE(""https://docs.google.com/spreadsheets/d/11923uPwbBZFjjGgGUA6NLw09EwE0CqkOc4q9oUmW1yo/edit?usp=sharing"",""นครสวรรค์!J39"")"),0)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IFERROR(__xludf.DUMMYFUNCTION("IMPORTRANGE(""https://docs.google.com/spreadsheets/d/11923uPwbBZFjjGgGUA6NLw09EwE0CqkOc4q9oUmW1yo/edit?usp=sharing"",""นครสวรรค์!J40"")"),1)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IFERROR(__xludf.DUMMYFUNCTION("IMPORTRANGE(""https://docs.google.com/spreadsheets/d/11923uPwbBZFjjGgGUA6NLw09EwE0CqkOc4q9oUmW1yo/edit?usp=sharing"",""นครสวรรค์!J41"")"),1)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IFERROR(__xludf.DUMMYFUNCTION("IMPORTRANGE(""https://docs.google.com/spreadsheets/d/11923uPwbBZFjjGgGUA6NLw09EwE0CqkOc4q9oUmW1yo/edit?usp=sharing"",""นครสวรรค์!J42"")"),1)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IFERROR(__xludf.DUMMYFUNCTION("IMPORTRANGE(""https://docs.google.com/spreadsheets/d/11923uPwbBZFjjGgGUA6NLw09EwE0CqkOc4q9oUmW1yo/edit?usp=sharing"",""นครสวรรค์!I43"")"),1)</f>
        <v>1</v>
      </c>
      <c r="J108" s="203">
        <f ca="1">IFERROR(__xludf.DUMMYFUNCTION("IMPORTRANGE(""https://docs.google.com/spreadsheets/d/11923uPwbBZFjjGgGUA6NLw09EwE0CqkOc4q9oUmW1yo/edit?usp=sharing"",""นครสวรรค์!J43"")"),1)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IFERROR(__xludf.DUMMYFUNCTION("IMPORTRANGE(""https://docs.google.com/spreadsheets/d/11923uPwbBZFjjGgGUA6NLw09EwE0CqkOc4q9oUmW1yo/edit?usp=sharing"",""นครสวรรค์!I44"")"),4)</f>
        <v>4</v>
      </c>
      <c r="J109" s="203">
        <f ca="1">IFERROR(__xludf.DUMMYFUNCTION("IMPORTRANGE(""https://docs.google.com/spreadsheets/d/11923uPwbBZFjjGgGUA6NLw09EwE0CqkOc4q9oUmW1yo/edit?usp=sharing"",""นครสวรรค์!J44"")"),4)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IFERROR(__xludf.DUMMYFUNCTION("IMPORTRANGE(""https://docs.google.com/spreadsheets/d/11923uPwbBZFjjGgGUA6NLw09EwE0CqkOc4q9oUmW1yo/edit?usp=sharing"",""นครสวรรค์!I45"")"),4)</f>
        <v>4</v>
      </c>
      <c r="J110" s="203">
        <f ca="1">IFERROR(__xludf.DUMMYFUNCTION("IMPORTRANGE(""https://docs.google.com/spreadsheets/d/11923uPwbBZFjjGgGUA6NLw09EwE0CqkOc4q9oUmW1yo/edit?usp=sharing"",""นครสวรรค์!J45"")"),4)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IFERROR(__xludf.DUMMYFUNCTION("IMPORTRANGE(""https://docs.google.com/spreadsheets/d/11923uPwbBZFjjGgGUA6NLw09EwE0CqkOc4q9oUmW1yo/edit?usp=sharing"",""นครสวรรค์!I46"")"),4)</f>
        <v>4</v>
      </c>
      <c r="J111" s="203">
        <f ca="1">IFERROR(__xludf.DUMMYFUNCTION("IMPORTRANGE(""https://docs.google.com/spreadsheets/d/11923uPwbBZFjjGgGUA6NLw09EwE0CqkOc4q9oUmW1yo/edit?usp=sharing"",""นครสวรรค์!J46"")"),4)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IFERROR(__xludf.DUMMYFUNCTION("IMPORTRANGE(""https://docs.google.com/spreadsheets/d/11923uPwbBZFjjGgGUA6NLw09EwE0CqkOc4q9oUmW1yo/edit?usp=sharing"",""นครสวรรค์!I47"")"),4)</f>
        <v>4</v>
      </c>
      <c r="J112" s="203">
        <f ca="1">IFERROR(__xludf.DUMMYFUNCTION("IMPORTRANGE(""https://docs.google.com/spreadsheets/d/11923uPwbBZFjjGgGUA6NLw09EwE0CqkOc4q9oUmW1yo/edit?usp=sharing"",""นครสวรรค์!J47"")"),4)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IFERROR(__xludf.DUMMYFUNCTION("IMPORTRANGE(""https://docs.google.com/spreadsheets/d/11923uPwbBZFjjGgGUA6NLw09EwE0CqkOc4q9oUmW1yo/edit?usp=sharing"",""นครสวรรค์!I48"")"),1)</f>
        <v>1</v>
      </c>
      <c r="J113" s="203">
        <f ca="1">IFERROR(__xludf.DUMMYFUNCTION("IMPORTRANGE(""https://docs.google.com/spreadsheets/d/11923uPwbBZFjjGgGUA6NLw09EwE0CqkOc4q9oUmW1yo/edit?usp=sharing"",""นครสวรรค์!J48"")"),1)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IFERROR(__xludf.DUMMYFUNCTION("IMPORTRANGE(""https://docs.google.com/spreadsheets/d/11923uPwbBZFjjGgGUA6NLw09EwE0CqkOc4q9oUmW1yo/edit?usp=sharing"",""นครสวรรค์!J49"")"),0)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IFERROR(__xludf.DUMMYFUNCTION("IMPORTRANGE(""https://docs.google.com/spreadsheets/d/11923uPwbBZFjjGgGUA6NLw09EwE0CqkOc4q9oUmW1yo/edit?usp=sharing"",""นครสวรรค์!J50"")"),0)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IFERROR(__xludf.DUMMYFUNCTION("IMPORTRANGE(""https://docs.google.com/spreadsheets/d/11923uPwbBZFjjGgGUA6NLw09EwE0CqkOc4q9oUmW1yo/edit?usp=sharing"",""นครสวรรค์!I52"")"),20)</f>
        <v>20</v>
      </c>
      <c r="J117" s="142">
        <f ca="1">IFERROR(__xludf.DUMMYFUNCTION("IMPORTRANGE(""https://docs.google.com/spreadsheets/d/11923uPwbBZFjjGgGUA6NLw09EwE0CqkOc4q9oUmW1yo/edit?usp=sharing"",""นครสวรรค์!J52"")"),20)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85080</v>
      </c>
      <c r="N118" s="152">
        <f t="shared" ca="1" si="58"/>
        <v>53560</v>
      </c>
      <c r="O118" s="151">
        <f t="shared" ref="O118:O120" ca="1" si="59">IF(L118&gt;0,N118*100/L118,0)</f>
        <v>64.968461911693353</v>
      </c>
      <c r="P118" s="151">
        <f t="shared" ref="P118:P120" ca="1" si="60">IF(M118&gt;0,N118*100/M118,0)</f>
        <v>62.952515279736716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85080</v>
      </c>
      <c r="N120" s="88">
        <f t="shared" ca="1" si="62"/>
        <v>53560</v>
      </c>
      <c r="O120" s="156">
        <f t="shared" ca="1" si="59"/>
        <v>64.968461911693353</v>
      </c>
      <c r="P120" s="156">
        <f t="shared" ca="1" si="60"/>
        <v>62.952515279736716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IFERROR(__xludf.DUMMYFUNCTION("IMPORTRANGE(""https://docs.google.com/spreadsheets/d/1Yj_ptqi66GCucihVvJfMjLAmec39IyEx_6qawtMGysU/edit?usp=sharing"",""สบก!BA24"")"),85080)</f>
        <v>85080</v>
      </c>
      <c r="N122" s="168">
        <f ca="1">IFERROR(__xludf.DUMMYFUNCTION("IMPORTRANGE(""https://docs.google.com/spreadsheets/d/1Yj_ptqi66GCucihVvJfMjLAmec39IyEx_6qawtMGysU/edit?usp=sharing"",""สบก!BB24"")"),53560)</f>
        <v>53560</v>
      </c>
      <c r="O122" s="168">
        <f ca="1">IF(L122&gt;0,N122*100/L122,0)</f>
        <v>64.968461911693353</v>
      </c>
      <c r="P122" s="168">
        <f ca="1">IF(M122&gt;0,N122*100/M122,0)</f>
        <v>62.952515279736716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IFERROR(__xludf.DUMMYFUNCTION("IMPORTRANGE(""https://docs.google.com/spreadsheets/d/1Yj_ptqi66GCucihVvJfMjLAmec39IyEx_6qawtMGysU/edit?usp=sharing"",""สบก!AW24"")"),0)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IFERROR(__xludf.DUMMYFUNCTION("IMPORTRANGE(""https://docs.google.com/spreadsheets/d/1Yj_ptqi66GCucihVvJfMjLAmec39IyEx_6qawtMGysU/edit?usp=sharing"",""สบก!AX24"")"),82440)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IFERROR(__xludf.DUMMYFUNCTION("IMPORTRANGE(""https://docs.google.com/spreadsheets/d/1Yj_ptqi66GCucihVvJfMjLAmec39IyEx_6qawtMGysU/edit?usp=sharing"",""สบก!AY24"")"),0)</f>
        <v>0</v>
      </c>
      <c r="M126" s="50"/>
      <c r="N126" s="50">
        <f ca="1">IFERROR(__xludf.DUMMYFUNCTION("IMPORTRANGE(""https://docs.google.com/spreadsheets/d/1Yj_ptqi66GCucihVvJfMjLAmec39IyEx_6qawtMGysU/edit?usp=sharing"",""สบก!BC24"")"),0)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IFERROR(__xludf.DUMMYFUNCTION("IMPORTRANGE(""https://docs.google.com/spreadsheets/d/11923uPwbBZFjjGgGUA6NLw09EwE0CqkOc4q9oUmW1yo/edit?usp=sharing"",""นครสวรรค์!J58"")"),0)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IFERROR(__xludf.DUMMYFUNCTION("IMPORTRANGE(""https://docs.google.com/spreadsheets/d/11923uPwbBZFjjGgGUA6NLw09EwE0CqkOc4q9oUmW1yo/edit?usp=sharing"",""นครสวรรค์!J59"")"),1)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IFERROR(__xludf.DUMMYFUNCTION("IMPORTRANGE(""https://docs.google.com/spreadsheets/d/11923uPwbBZFjjGgGUA6NLw09EwE0CqkOc4q9oUmW1yo/edit?usp=sharing"",""นครสวรรค์!J60"")"),1)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IFERROR(__xludf.DUMMYFUNCTION("IMPORTRANGE(""https://docs.google.com/spreadsheets/d/11923uPwbBZFjjGgGUA6NLw09EwE0CqkOc4q9oUmW1yo/edit?usp=sharing"",""นครสวรรค์!J61"")"),1)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IFERROR(__xludf.DUMMYFUNCTION("IMPORTRANGE(""https://docs.google.com/spreadsheets/d/11923uPwbBZFjjGgGUA6NLw09EwE0CqkOc4q9oUmW1yo/edit?usp=sharing"",""นครสวรรค์!I62"")"),20)</f>
        <v>20</v>
      </c>
      <c r="J132" s="203">
        <f ca="1">IFERROR(__xludf.DUMMYFUNCTION("IMPORTRANGE(""https://docs.google.com/spreadsheets/d/11923uPwbBZFjjGgGUA6NLw09EwE0CqkOc4q9oUmW1yo/edit?usp=sharing"",""นครสวรรค์!J62"")"),20)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IFERROR(__xludf.DUMMYFUNCTION("IMPORTRANGE(""https://docs.google.com/spreadsheets/d/11923uPwbBZFjjGgGUA6NLw09EwE0CqkOc4q9oUmW1yo/edit?usp=sharing"",""นครสวรรค์!I63"")"),20)</f>
        <v>20</v>
      </c>
      <c r="J133" s="203">
        <f ca="1">IFERROR(__xludf.DUMMYFUNCTION("IMPORTRANGE(""https://docs.google.com/spreadsheets/d/11923uPwbBZFjjGgGUA6NLw09EwE0CqkOc4q9oUmW1yo/edit?usp=sharing"",""นครสวรรค์!J63"")"),20)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IFERROR(__xludf.DUMMYFUNCTION("IMPORTRANGE(""https://docs.google.com/spreadsheets/d/11923uPwbBZFjjGgGUA6NLw09EwE0CqkOc4q9oUmW1yo/edit?usp=sharing"",""นครสวรรค์!J64"")"),0)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IFERROR(__xludf.DUMMYFUNCTION("IMPORTRANGE(""https://docs.google.com/spreadsheets/d/11923uPwbBZFjjGgGUA6NLw09EwE0CqkOc4q9oUmW1yo/edit?usp=sharing"",""นครสวรรค์!J65"")"),0)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IFERROR(__xludf.DUMMYFUNCTION("IMPORTRANGE(""https://docs.google.com/spreadsheets/d/11923uPwbBZFjjGgGUA6NLw09EwE0CqkOc4q9oUmW1yo/edit?usp=sharing"",""นครสวรรค์!I68"")"),0)</f>
        <v>0</v>
      </c>
      <c r="J138" s="267">
        <f ca="1">IFERROR(__xludf.DUMMYFUNCTION("IMPORTRANGE(""https://docs.google.com/spreadsheets/d/11923uPwbBZFjjGgGUA6NLw09EwE0CqkOc4q9oUmW1yo/edit?usp=sharing"",""นครสวรรค์!J68"")"),0)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163500</v>
      </c>
      <c r="M140" s="152">
        <f t="shared" ca="1" si="64"/>
        <v>219100</v>
      </c>
      <c r="N140" s="152">
        <f t="shared" ca="1" si="64"/>
        <v>121141.07</v>
      </c>
      <c r="O140" s="151">
        <f t="shared" ref="O140:O142" ca="1" si="65">IF(L140&gt;0,N140*100/L140,0)</f>
        <v>74.092397553516818</v>
      </c>
      <c r="P140" s="151">
        <f t="shared" ref="P140:P142" ca="1" si="66">IF(M140&gt;0,N140*100/M140,0)</f>
        <v>55.290310360565954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163500</v>
      </c>
      <c r="M142" s="88">
        <f t="shared" ca="1" si="68"/>
        <v>219100</v>
      </c>
      <c r="N142" s="88">
        <f t="shared" ca="1" si="68"/>
        <v>121141.07</v>
      </c>
      <c r="O142" s="156">
        <f t="shared" ca="1" si="65"/>
        <v>74.092397553516818</v>
      </c>
      <c r="P142" s="156">
        <f t="shared" ca="1" si="66"/>
        <v>55.290310360565954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163500</v>
      </c>
      <c r="M144" s="167">
        <f ca="1">IFERROR(__xludf.DUMMYFUNCTION("IMPORTRANGE(""https://docs.google.com/spreadsheets/d/1Yj_ptqi66GCucihVvJfMjLAmec39IyEx_6qawtMGysU/edit?usp=sharing"",""สบก!BJ24"")"),219100)</f>
        <v>219100</v>
      </c>
      <c r="N144" s="168">
        <f ca="1">IFERROR(__xludf.DUMMYFUNCTION("IMPORTRANGE(""https://docs.google.com/spreadsheets/d/1Yj_ptqi66GCucihVvJfMjLAmec39IyEx_6qawtMGysU/edit?usp=sharing"",""สบก!BK24"")"),121141.07)</f>
        <v>121141.07</v>
      </c>
      <c r="O144" s="168">
        <f ca="1">IF(L144&gt;0,N144*100/L144,0)</f>
        <v>74.092397553516818</v>
      </c>
      <c r="P144" s="168">
        <f ca="1">IF(M144&gt;0,N144*100/M144,0)</f>
        <v>55.290310360565954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IFERROR(__xludf.DUMMYFUNCTION("IMPORTRANGE(""https://docs.google.com/spreadsheets/d/1Yj_ptqi66GCucihVvJfMjLAmec39IyEx_6qawtMGysU/edit?usp=sharing"",""สบก!BF24"")"),0)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IFERROR(__xludf.DUMMYFUNCTION("IMPORTRANGE(""https://docs.google.com/spreadsheets/d/1Yj_ptqi66GCucihVvJfMjLAmec39IyEx_6qawtMGysU/edit?usp=sharing"",""สบก!BG24"")"),163500)</f>
        <v>163500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IFERROR(__xludf.DUMMYFUNCTION("IMPORTRANGE(""https://docs.google.com/spreadsheets/d/1Yj_ptqi66GCucihVvJfMjLAmec39IyEx_6qawtMGysU/edit?usp=sharing"",""สบก!BH24"")"),0)</f>
        <v>0</v>
      </c>
      <c r="M148" s="50"/>
      <c r="N148" s="50">
        <f ca="1">IFERROR(__xludf.DUMMYFUNCTION("IMPORTRANGE(""https://docs.google.com/spreadsheets/d/1Yj_ptqi66GCucihVvJfMjLAmec39IyEx_6qawtMGysU/edit?usp=sharing"",""สบก!BL24"")"),0)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IFERROR(__xludf.DUMMYFUNCTION("IMPORTRANGE(""https://docs.google.com/spreadsheets/d/11923uPwbBZFjjGgGUA6NLw09EwE0CqkOc4q9oUmW1yo/edit?usp=sharing"",""นครสวรรค์!I74"")"),4)</f>
        <v>4</v>
      </c>
      <c r="J149" s="275">
        <f ca="1">IFERROR(__xludf.DUMMYFUNCTION("IMPORTRANGE(""https://docs.google.com/spreadsheets/d/11923uPwbBZFjjGgGUA6NLw09EwE0CqkOc4q9oUmW1yo/edit?usp=sharing"",""นครสวรรค์!J74"")"),3)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IFERROR(__xludf.DUMMYFUNCTION("IMPORTRANGE(""https://docs.google.com/spreadsheets/d/11923uPwbBZFjjGgGUA6NLw09EwE0CqkOc4q9oUmW1yo/edit?usp=sharing"",""นครสวรรค์!J79"")"),0)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IFERROR(__xludf.DUMMYFUNCTION("IMPORTRANGE(""https://docs.google.com/spreadsheets/d/11923uPwbBZFjjGgGUA6NLw09EwE0CqkOc4q9oUmW1yo/edit?usp=sharing"",""นครสวรรค์!J80"")"),1)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IFERROR(__xludf.DUMMYFUNCTION("IMPORTRANGE(""https://docs.google.com/spreadsheets/d/11923uPwbBZFjjGgGUA6NLw09EwE0CqkOc4q9oUmW1yo/edit?usp=sharing"",""นครสวรรค์!J81"")"),1)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IFERROR(__xludf.DUMMYFUNCTION("IMPORTRANGE(""https://docs.google.com/spreadsheets/d/11923uPwbBZFjjGgGUA6NLw09EwE0CqkOc4q9oUmW1yo/edit?usp=sharing"",""นครสวรรค์!J82"")"),1)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IFERROR(__xludf.DUMMYFUNCTION("IMPORTRANGE(""https://docs.google.com/spreadsheets/d/11923uPwbBZFjjGgGUA6NLw09EwE0CqkOc4q9oUmW1yo/edit?usp=sharing"",""นครสวรรค์!I83"")"),4)</f>
        <v>4</v>
      </c>
      <c r="J158" s="188">
        <f ca="1">IFERROR(__xludf.DUMMYFUNCTION("IMPORTRANGE(""https://docs.google.com/spreadsheets/d/11923uPwbBZFjjGgGUA6NLw09EwE0CqkOc4q9oUmW1yo/edit?usp=sharing"",""นครสวรรค์!J83"")"),3)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IFERROR(__xludf.DUMMYFUNCTION("IMPORTRANGE(""https://docs.google.com/spreadsheets/d/11923uPwbBZFjjGgGUA6NLw09EwE0CqkOc4q9oUmW1yo/edit?usp=sharing"",""นครสวรรค์!J84"")"),102)</f>
        <v>102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IFERROR(__xludf.DUMMYFUNCTION("IMPORTRANGE(""https://docs.google.com/spreadsheets/d/11923uPwbBZFjjGgGUA6NLw09EwE0CqkOc4q9oUmW1yo/edit?usp=sharing"",""นครสวรรค์!J85"")"),102)</f>
        <v>102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IFERROR(__xludf.DUMMYFUNCTION("IMPORTRANGE(""https://docs.google.com/spreadsheets/d/11923uPwbBZFjjGgGUA6NLw09EwE0CqkOc4q9oUmW1yo/edit?usp=sharing"",""นครสวรรค์!J86"")"),0)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IFERROR(__xludf.DUMMYFUNCTION("IMPORTRANGE(""https://docs.google.com/spreadsheets/d/11923uPwbBZFjjGgGUA6NLw09EwE0CqkOc4q9oUmW1yo/edit?usp=sharing"",""นครสวรรค์!J87"")"),0)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IFERROR(__xludf.DUMMYFUNCTION("IMPORTRANGE(""https://docs.google.com/spreadsheets/d/11923uPwbBZFjjGgGUA6NLw09EwE0CqkOc4q9oUmW1yo/edit?usp=sharing"",""นครสวรรค์!J88"")"),0)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IFERROR(__xludf.DUMMYFUNCTION("IMPORTRANGE(""https://docs.google.com/spreadsheets/d/11923uPwbBZFjjGgGUA6NLw09EwE0CqkOc4q9oUmW1yo/edit?usp=sharing"",""นครสวรรค์!I89"")"),5)</f>
        <v>5</v>
      </c>
      <c r="J164" s="284">
        <f ca="1">IFERROR(__xludf.DUMMYFUNCTION("IMPORTRANGE(""https://docs.google.com/spreadsheets/d/11923uPwbBZFjjGgGUA6NLw09EwE0CqkOc4q9oUmW1yo/edit?usp=sharing"",""นครสวรรค์!J89"")"),5)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IFERROR(__xludf.DUMMYFUNCTION("IMPORTRANGE(""https://docs.google.com/spreadsheets/d/11923uPwbBZFjjGgGUA6NLw09EwE0CqkOc4q9oUmW1yo/edit?usp=sharing"",""นครสวรรค์!J94"")"),0)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IFERROR(__xludf.DUMMYFUNCTION("IMPORTRANGE(""https://docs.google.com/spreadsheets/d/11923uPwbBZFjjGgGUA6NLw09EwE0CqkOc4q9oUmW1yo/edit?usp=sharing"",""นครสวรรค์!J95"")"),1)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IFERROR(__xludf.DUMMYFUNCTION("IMPORTRANGE(""https://docs.google.com/spreadsheets/d/11923uPwbBZFjjGgGUA6NLw09EwE0CqkOc4q9oUmW1yo/edit?usp=sharing"",""นครสวรรค์!J96"")"),1)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IFERROR(__xludf.DUMMYFUNCTION("IMPORTRANGE(""https://docs.google.com/spreadsheets/d/11923uPwbBZFjjGgGUA6NLw09EwE0CqkOc4q9oUmW1yo/edit?usp=sharing"",""นครสวรรค์!J97"")"),1)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IFERROR(__xludf.DUMMYFUNCTION("IMPORTRANGE(""https://docs.google.com/spreadsheets/d/11923uPwbBZFjjGgGUA6NLw09EwE0CqkOc4q9oUmW1yo/edit?usp=sharing"",""นครสวรรค์!I98"")"),5)</f>
        <v>5</v>
      </c>
      <c r="J173" s="188">
        <f ca="1">IFERROR(__xludf.DUMMYFUNCTION("IMPORTRANGE(""https://docs.google.com/spreadsheets/d/11923uPwbBZFjjGgGUA6NLw09EwE0CqkOc4q9oUmW1yo/edit?usp=sharing"",""นครสวรรค์!J98"")"),5)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IFERROR(__xludf.DUMMYFUNCTION("IMPORTRANGE(""https://docs.google.com/spreadsheets/d/11923uPwbBZFjjGgGUA6NLw09EwE0CqkOc4q9oUmW1yo/edit?usp=sharing"",""นครสวรรค์!J99"")"),1)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IFERROR(__xludf.DUMMYFUNCTION("IMPORTRANGE(""https://docs.google.com/spreadsheets/d/11923uPwbBZFjjGgGUA6NLw09EwE0CqkOc4q9oUmW1yo/edit?usp=sharing"",""นครสวรรค์!J100"")"),0)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IFERROR(__xludf.DUMMYFUNCTION("IMPORTRANGE(""https://docs.google.com/spreadsheets/d/11923uPwbBZFjjGgGUA6NLw09EwE0CqkOc4q9oUmW1yo/edit?usp=sharing"",""นครสวรรค์!I101"")"),0)</f>
        <v>0</v>
      </c>
      <c r="J176" s="284">
        <f ca="1">IFERROR(__xludf.DUMMYFUNCTION("IMPORTRANGE(""https://docs.google.com/spreadsheets/d/11923uPwbBZFjjGgGUA6NLw09EwE0CqkOc4q9oUmW1yo/edit?usp=sharing"",""นครสวรรค์!J101"")"),0)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IFERROR(__xludf.DUMMYFUNCTION("IMPORTRANGE(""https://docs.google.com/spreadsheets/d/11923uPwbBZFjjGgGUA6NLw09EwE0CqkOc4q9oUmW1yo/edit?usp=sharing"",""นครสวรรค์!J106"")"),0)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IFERROR(__xludf.DUMMYFUNCTION("IMPORTRANGE(""https://docs.google.com/spreadsheets/d/11923uPwbBZFjjGgGUA6NLw09EwE0CqkOc4q9oUmW1yo/edit?usp=sharing"",""นครสวรรค์!J107"")"),0)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IFERROR(__xludf.DUMMYFUNCTION("IMPORTRANGE(""https://docs.google.com/spreadsheets/d/11923uPwbBZFjjGgGUA6NLw09EwE0CqkOc4q9oUmW1yo/edit?usp=sharing"",""นครสวรรค์!J108"")"),0)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IFERROR(__xludf.DUMMYFUNCTION("IMPORTRANGE(""https://docs.google.com/spreadsheets/d/11923uPwbBZFjjGgGUA6NLw09EwE0CqkOc4q9oUmW1yo/edit?usp=sharing"",""นครสวรรค์!J109"")"),0)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IFERROR(__xludf.DUMMYFUNCTION("IMPORTRANGE(""https://docs.google.com/spreadsheets/d/11923uPwbBZFjjGgGUA6NLw09EwE0CqkOc4q9oUmW1yo/edit?usp=sharing"",""นครสวรรค์!I110"")"),0)</f>
        <v>0</v>
      </c>
      <c r="J185" s="203">
        <f ca="1">IFERROR(__xludf.DUMMYFUNCTION("IMPORTRANGE(""https://docs.google.com/spreadsheets/d/11923uPwbBZFjjGgGUA6NLw09EwE0CqkOc4q9oUmW1yo/edit?usp=sharing"",""นครสวรรค์!J110"")"),0)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IFERROR(__xludf.DUMMYFUNCTION("IMPORTRANGE(""https://docs.google.com/spreadsheets/d/11923uPwbBZFjjGgGUA6NLw09EwE0CqkOc4q9oUmW1yo/edit?usp=sharing"",""นครสวรรค์!I111"")"),0)</f>
        <v>0</v>
      </c>
      <c r="J186" s="203">
        <f ca="1">IFERROR(__xludf.DUMMYFUNCTION("IMPORTRANGE(""https://docs.google.com/spreadsheets/d/11923uPwbBZFjjGgGUA6NLw09EwE0CqkOc4q9oUmW1yo/edit?usp=sharing"",""นครสวรรค์!J111"")"),0)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IFERROR(__xludf.DUMMYFUNCTION("IMPORTRANGE(""https://docs.google.com/spreadsheets/d/11923uPwbBZFjjGgGUA6NLw09EwE0CqkOc4q9oUmW1yo/edit?usp=sharing"",""นครสวรรค์!J112"")"),0)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IFERROR(__xludf.DUMMYFUNCTION("IMPORTRANGE(""https://docs.google.com/spreadsheets/d/11923uPwbBZFjjGgGUA6NLw09EwE0CqkOc4q9oUmW1yo/edit?usp=sharing"",""นครสวรรค์!J113"")"),0)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IFERROR(__xludf.DUMMYFUNCTION("IMPORTRANGE(""https://docs.google.com/spreadsheets/d/11923uPwbBZFjjGgGUA6NLw09EwE0CqkOc4q9oUmW1yo/edit?usp=sharing"",""นครสวรรค์!I114"")"),300000)</f>
        <v>300000</v>
      </c>
      <c r="J189" s="284">
        <f ca="1">IFERROR(__xludf.DUMMYFUNCTION("IMPORTRANGE(""https://docs.google.com/spreadsheets/d/11923uPwbBZFjjGgGUA6NLw09EwE0CqkOc4q9oUmW1yo/edit?usp=sharing"",""นครสวรรค์!J114"")"),200000)</f>
        <v>200000</v>
      </c>
      <c r="K189" s="285">
        <f ca="1">IF(I189&gt;0,J189*100/I189,0)</f>
        <v>66.666666666666671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IFERROR(__xludf.DUMMYFUNCTION("IMPORTRANGE(""https://docs.google.com/spreadsheets/d/11923uPwbBZFjjGgGUA6NLw09EwE0CqkOc4q9oUmW1yo/edit?usp=sharing"",""นครสวรรค์!J119"")"),0)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IFERROR(__xludf.DUMMYFUNCTION("IMPORTRANGE(""https://docs.google.com/spreadsheets/d/11923uPwbBZFjjGgGUA6NLw09EwE0CqkOc4q9oUmW1yo/edit?usp=sharing"",""นครสวรรค์!J120"")"),1)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IFERROR(__xludf.DUMMYFUNCTION("IMPORTRANGE(""https://docs.google.com/spreadsheets/d/11923uPwbBZFjjGgGUA6NLw09EwE0CqkOc4q9oUmW1yo/edit?usp=sharing"",""นครสวรรค์!J121"")"),1)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IFERROR(__xludf.DUMMYFUNCTION("IMPORTRANGE(""https://docs.google.com/spreadsheets/d/11923uPwbBZFjjGgGUA6NLw09EwE0CqkOc4q9oUmW1yo/edit?usp=sharing"",""นครสวรรค์!J122"")"),1)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IFERROR(__xludf.DUMMYFUNCTION("IMPORTRANGE(""https://docs.google.com/spreadsheets/d/11923uPwbBZFjjGgGUA6NLw09EwE0CqkOc4q9oUmW1yo/edit?usp=sharing"",""นครสวรรค์!I124"")"),300000)</f>
        <v>300000</v>
      </c>
      <c r="J199" s="188">
        <f ca="1">IFERROR(__xludf.DUMMYFUNCTION("IMPORTRANGE(""https://docs.google.com/spreadsheets/d/11923uPwbBZFjjGgGUA6NLw09EwE0CqkOc4q9oUmW1yo/edit?usp=sharing"",""นครสวรรค์!J124"")"),300000)</f>
        <v>300000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IFERROR(__xludf.DUMMYFUNCTION("IMPORTRANGE(""https://docs.google.com/spreadsheets/d/11923uPwbBZFjjGgGUA6NLw09EwE0CqkOc4q9oUmW1yo/edit?usp=sharing"",""นครสวรรค์!I125"")"),300000)</f>
        <v>300000</v>
      </c>
      <c r="J200" s="188">
        <f ca="1">IFERROR(__xludf.DUMMYFUNCTION("IMPORTRANGE(""https://docs.google.com/spreadsheets/d/11923uPwbBZFjjGgGUA6NLw09EwE0CqkOc4q9oUmW1yo/edit?usp=sharing"",""นครสวรรค์!J125"")"),200000)</f>
        <v>200000</v>
      </c>
      <c r="K200" s="163">
        <f t="shared" ca="1" si="70"/>
        <v>66.666666666666671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IFERROR(__xludf.DUMMYFUNCTION("IMPORTRANGE(""https://docs.google.com/spreadsheets/d/11923uPwbBZFjjGgGUA6NLw09EwE0CqkOc4q9oUmW1yo/edit?usp=sharing"",""นครสวรรค์!I126"")"),0)</f>
        <v>0</v>
      </c>
      <c r="J201" s="188">
        <f ca="1">IFERROR(__xludf.DUMMYFUNCTION("IMPORTRANGE(""https://docs.google.com/spreadsheets/d/11923uPwbBZFjjGgGUA6NLw09EwE0CqkOc4q9oUmW1yo/edit?usp=sharing"",""นครสวรรค์!J126"")"),0)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IFERROR(__xludf.DUMMYFUNCTION("IMPORTRANGE(""https://docs.google.com/spreadsheets/d/11923uPwbBZFjjGgGUA6NLw09EwE0CqkOc4q9oUmW1yo/edit?usp=sharing"",""นครสวรรค์!J127"")"),0)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IFERROR(__xludf.DUMMYFUNCTION("IMPORTRANGE(""https://docs.google.com/spreadsheets/d/11923uPwbBZFjjGgGUA6NLw09EwE0CqkOc4q9oUmW1yo/edit?usp=sharing"",""นครสวรรค์!J128"")"),0)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IFERROR(__xludf.DUMMYFUNCTION("IMPORTRANGE(""https://docs.google.com/spreadsheets/d/11923uPwbBZFjjGgGUA6NLw09EwE0CqkOc4q9oUmW1yo/edit?usp=sharing"",""นครสวรรค์!I129"")"),0)</f>
        <v>0</v>
      </c>
      <c r="J204" s="284">
        <f ca="1">IFERROR(__xludf.DUMMYFUNCTION("IMPORTRANGE(""https://docs.google.com/spreadsheets/d/11923uPwbBZFjjGgGUA6NLw09EwE0CqkOc4q9oUmW1yo/edit?usp=sharing"",""นครสวรรค์!J129"")"),0)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IFERROR(__xludf.DUMMYFUNCTION("IMPORTRANGE(""https://docs.google.com/spreadsheets/d/11923uPwbBZFjjGgGUA6NLw09EwE0CqkOc4q9oUmW1yo/edit?usp=sharing"",""นครสวรรค์!J134"")"),0)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IFERROR(__xludf.DUMMYFUNCTION("IMPORTRANGE(""https://docs.google.com/spreadsheets/d/11923uPwbBZFjjGgGUA6NLw09EwE0CqkOc4q9oUmW1yo/edit?usp=sharing"",""นครสวรรค์!J135"")"),0)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IFERROR(__xludf.DUMMYFUNCTION("IMPORTRANGE(""https://docs.google.com/spreadsheets/d/11923uPwbBZFjjGgGUA6NLw09EwE0CqkOc4q9oUmW1yo/edit?usp=sharing"",""นครสวรรค์!J136"")"),0)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IFERROR(__xludf.DUMMYFUNCTION("IMPORTRANGE(""https://docs.google.com/spreadsheets/d/11923uPwbBZFjjGgGUA6NLw09EwE0CqkOc4q9oUmW1yo/edit?usp=sharing"",""นครสวรรค์!J137"")"),0)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IFERROR(__xludf.DUMMYFUNCTION("IMPORTRANGE(""https://docs.google.com/spreadsheets/d/11923uPwbBZFjjGgGUA6NLw09EwE0CqkOc4q9oUmW1yo/edit?usp=sharing"",""นครสวรรค์!I138"")"),0)</f>
        <v>0</v>
      </c>
      <c r="J213" s="203">
        <f ca="1">IFERROR(__xludf.DUMMYFUNCTION("IMPORTRANGE(""https://docs.google.com/spreadsheets/d/11923uPwbBZFjjGgGUA6NLw09EwE0CqkOc4q9oUmW1yo/edit?usp=sharing"",""นครสวรรค์!J138"")"),0)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IFERROR(__xludf.DUMMYFUNCTION("IMPORTRANGE(""https://docs.google.com/spreadsheets/d/11923uPwbBZFjjGgGUA6NLw09EwE0CqkOc4q9oUmW1yo/edit?usp=sharing"",""นครสวรรค์!I140"")"),0)</f>
        <v>0</v>
      </c>
      <c r="J215" s="203">
        <f ca="1">IFERROR(__xludf.DUMMYFUNCTION("IMPORTRANGE(""https://docs.google.com/spreadsheets/d/11923uPwbBZFjjGgGUA6NLw09EwE0CqkOc4q9oUmW1yo/edit?usp=sharing"",""นครสวรรค์!J140"")"),0)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IFERROR(__xludf.DUMMYFUNCTION("IMPORTRANGE(""https://docs.google.com/spreadsheets/d/11923uPwbBZFjjGgGUA6NLw09EwE0CqkOc4q9oUmW1yo/edit?usp=sharing"",""นครสวรรค์!I141"")"),0)</f>
        <v>0</v>
      </c>
      <c r="J216" s="203">
        <f ca="1">IFERROR(__xludf.DUMMYFUNCTION("IMPORTRANGE(""https://docs.google.com/spreadsheets/d/11923uPwbBZFjjGgGUA6NLw09EwE0CqkOc4q9oUmW1yo/edit?usp=sharing"",""นครสวรรค์!J141"")"),0)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IFERROR(__xludf.DUMMYFUNCTION("IMPORTRANGE(""https://docs.google.com/spreadsheets/d/11923uPwbBZFjjGgGUA6NLw09EwE0CqkOc4q9oUmW1yo/edit?usp=sharing"",""นครสวรรค์!J142"")"),0)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IFERROR(__xludf.DUMMYFUNCTION("IMPORTRANGE(""https://docs.google.com/spreadsheets/d/11923uPwbBZFjjGgGUA6NLw09EwE0CqkOc4q9oUmW1yo/edit?usp=sharing"",""นครสวรรค์!J143"")"),0)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IFERROR(__xludf.DUMMYFUNCTION("IMPORTRANGE(""https://docs.google.com/spreadsheets/d/11923uPwbBZFjjGgGUA6NLw09EwE0CqkOc4q9oUmW1yo/edit?usp=sharing"",""นครสวรรค์!I144"")"),15)</f>
        <v>15</v>
      </c>
      <c r="J219" s="267">
        <f ca="1">IFERROR(__xludf.DUMMYFUNCTION("IMPORTRANGE(""https://docs.google.com/spreadsheets/d/11923uPwbBZFjjGgGUA6NLw09EwE0CqkOc4q9oUmW1yo/edit?usp=sharing"",""นครสวรรค์!J144"")"),15)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IFERROR(__xludf.DUMMYFUNCTION("IMPORTRANGE(""https://docs.google.com/spreadsheets/d/1Yj_ptqi66GCucihVvJfMjLAmec39IyEx_6qawtMGysU/edit?usp=sharing"",""สบก!BS24"")"),21125)</f>
        <v>21125</v>
      </c>
      <c r="N224" s="168">
        <f ca="1">IFERROR(__xludf.DUMMYFUNCTION("IMPORTRANGE(""https://docs.google.com/spreadsheets/d/1Yj_ptqi66GCucihVvJfMjLAmec39IyEx_6qawtMGysU/edit?usp=sharing"",""สบก!BT24"")"),21125)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IFERROR(__xludf.DUMMYFUNCTION("IMPORTRANGE(""https://docs.google.com/spreadsheets/d/1Yj_ptqi66GCucihVvJfMjLAmec39IyEx_6qawtMGysU/edit?usp=sharing"",""สบก!BO24"")"),0)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IFERROR(__xludf.DUMMYFUNCTION("IMPORTRANGE(""https://docs.google.com/spreadsheets/d/1Yj_ptqi66GCucihVvJfMjLAmec39IyEx_6qawtMGysU/edit?usp=sharing"",""สบก!BP24"")"),21125)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IFERROR(__xludf.DUMMYFUNCTION("IMPORTRANGE(""https://docs.google.com/spreadsheets/d/1Yj_ptqi66GCucihVvJfMjLAmec39IyEx_6qawtMGysU/edit?usp=sharing"",""สบก!BQ24"")"),0)</f>
        <v>0</v>
      </c>
      <c r="M228" s="50"/>
      <c r="N228" s="50">
        <f ca="1">IFERROR(__xludf.DUMMYFUNCTION("IMPORTRANGE(""https://docs.google.com/spreadsheets/d/1Yj_ptqi66GCucihVvJfMjLAmec39IyEx_6qawtMGysU/edit?usp=sharing"",""สบก!BU24"")"),0)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IFERROR(__xludf.DUMMYFUNCTION("IMPORTRANGE(""https://docs.google.com/spreadsheets/d/11923uPwbBZFjjGgGUA6NLw09EwE0CqkOc4q9oUmW1yo/edit?usp=sharing"",""นครสวรรค์!I149"")"),15)</f>
        <v>15</v>
      </c>
      <c r="J229" s="267">
        <f ca="1">IFERROR(__xludf.DUMMYFUNCTION("IMPORTRANGE(""https://docs.google.com/spreadsheets/d/11923uPwbBZFjjGgGUA6NLw09EwE0CqkOc4q9oUmW1yo/edit?usp=sharing"",""นครสวรรค์!J149"")"),15)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IFERROR(__xludf.DUMMYFUNCTION("IMPORTRANGE(""https://docs.google.com/spreadsheets/d/11923uPwbBZFjjGgGUA6NLw09EwE0CqkOc4q9oUmW1yo/edit?usp=sharing"",""นครสวรรค์!J151"")"),0)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IFERROR(__xludf.DUMMYFUNCTION("IMPORTRANGE(""https://docs.google.com/spreadsheets/d/11923uPwbBZFjjGgGUA6NLw09EwE0CqkOc4q9oUmW1yo/edit?usp=sharing"",""นครสวรรค์!J152"")"),1)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IFERROR(__xludf.DUMMYFUNCTION("IMPORTRANGE(""https://docs.google.com/spreadsheets/d/11923uPwbBZFjjGgGUA6NLw09EwE0CqkOc4q9oUmW1yo/edit?usp=sharing"",""นครสวรรค์!J153"")"),1)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IFERROR(__xludf.DUMMYFUNCTION("IMPORTRANGE(""https://docs.google.com/spreadsheets/d/11923uPwbBZFjjGgGUA6NLw09EwE0CqkOc4q9oUmW1yo/edit?usp=sharing"",""นครสวรรค์!J154"")"),1)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IFERROR(__xludf.DUMMYFUNCTION("IMPORTRANGE(""https://docs.google.com/spreadsheets/d/11923uPwbBZFjjGgGUA6NLw09EwE0CqkOc4q9oUmW1yo/edit?usp=sharing"",""นครสวรรค์!I155"")"),15)</f>
        <v>15</v>
      </c>
      <c r="J235" s="188">
        <f ca="1">IFERROR(__xludf.DUMMYFUNCTION("IMPORTRANGE(""https://docs.google.com/spreadsheets/d/11923uPwbBZFjjGgGUA6NLw09EwE0CqkOc4q9oUmW1yo/edit?usp=sharing"",""นครสวรรค์!J155"")"),15)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IFERROR(__xludf.DUMMYFUNCTION("IMPORTRANGE(""https://docs.google.com/spreadsheets/d/11923uPwbBZFjjGgGUA6NLw09EwE0CqkOc4q9oUmW1yo/edit?usp=sharing"",""นครสวรรค์!J156"")"),1)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IFERROR(__xludf.DUMMYFUNCTION("IMPORTRANGE(""https://docs.google.com/spreadsheets/d/11923uPwbBZFjjGgGUA6NLw09EwE0CqkOc4q9oUmW1yo/edit?usp=sharing"",""นครสวรรค์!J157"")"),0)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IFERROR(__xludf.DUMMYFUNCTION("IMPORTRANGE(""https://docs.google.com/spreadsheets/d/11923uPwbBZFjjGgGUA6NLw09EwE0CqkOc4q9oUmW1yo/edit?usp=sharing"",""นครสวรรค์!I158"")"),0)</f>
        <v>0</v>
      </c>
      <c r="J238" s="267">
        <f ca="1">IFERROR(__xludf.DUMMYFUNCTION("IMPORTRANGE(""https://docs.google.com/spreadsheets/d/11923uPwbBZFjjGgGUA6NLw09EwE0CqkOc4q9oUmW1yo/edit?usp=sharing"",""นครสวรรค์!J158"")"),0)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IFERROR(__xludf.DUMMYFUNCTION("IMPORTRANGE(""https://docs.google.com/spreadsheets/d/11923uPwbBZFjjGgGUA6NLw09EwE0CqkOc4q9oUmW1yo/edit?usp=sharing"",""นครสวรรค์!J159"")"),"")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IFERROR(__xludf.DUMMYFUNCTION("IMPORTRANGE(""https://docs.google.com/spreadsheets/d/11923uPwbBZFjjGgGUA6NLw09EwE0CqkOc4q9oUmW1yo/edit?usp=sharing"",""นครสวรรค์!J161"")"),0)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IFERROR(__xludf.DUMMYFUNCTION("IMPORTRANGE(""https://docs.google.com/spreadsheets/d/11923uPwbBZFjjGgGUA6NLw09EwE0CqkOc4q9oUmW1yo/edit?usp=sharing"",""นครสวรรค์!J162"")"),0)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IFERROR(__xludf.DUMMYFUNCTION("IMPORTRANGE(""https://docs.google.com/spreadsheets/d/11923uPwbBZFjjGgGUA6NLw09EwE0CqkOc4q9oUmW1yo/edit?usp=sharing"",""นครสวรรค์!J163"")"),0)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IFERROR(__xludf.DUMMYFUNCTION("IMPORTRANGE(""https://docs.google.com/spreadsheets/d/11923uPwbBZFjjGgGUA6NLw09EwE0CqkOc4q9oUmW1yo/edit?usp=sharing"",""นครสวรรค์!I164"")"),0)</f>
        <v>0</v>
      </c>
      <c r="J244" s="187">
        <f ca="1">IFERROR(__xludf.DUMMYFUNCTION("IMPORTRANGE(""https://docs.google.com/spreadsheets/d/11923uPwbBZFjjGgGUA6NLw09EwE0CqkOc4q9oUmW1yo/edit?usp=sharing"",""นครสวรรค์!J164"")"),0)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IFERROR(__xludf.DUMMYFUNCTION("IMPORTRANGE(""https://docs.google.com/spreadsheets/d/11923uPwbBZFjjGgGUA6NLw09EwE0CqkOc4q9oUmW1yo/edit?usp=sharing"",""นครสวรรค์!J165"")"),0)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IFERROR(__xludf.DUMMYFUNCTION("IMPORTRANGE(""https://docs.google.com/spreadsheets/d/11923uPwbBZFjjGgGUA6NLw09EwE0CqkOc4q9oUmW1yo/edit?usp=sharing"",""นครสวรรค์!J166"")"),0)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IFERROR(__xludf.DUMMYFUNCTION("IMPORTRANGE(""https://docs.google.com/spreadsheets/d/11923uPwbBZFjjGgGUA6NLw09EwE0CqkOc4q9oUmW1yo/edit?usp=sharing"",""นครสวรรค์!I169"")"),25)</f>
        <v>25</v>
      </c>
      <c r="J249" s="316">
        <f ca="1">IFERROR(__xludf.DUMMYFUNCTION("IMPORTRANGE(""https://docs.google.com/spreadsheets/d/11923uPwbBZFjjGgGUA6NLw09EwE0CqkOc4q9oUmW1yo/edit?usp=sharing"",""นครสวรรค์!J169"")"),25)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54864</v>
      </c>
      <c r="O250" s="151">
        <f t="shared" ref="O250:O252" ca="1" si="78">IF(L250&gt;0,N250*100/L250,0)</f>
        <v>61.644943820224718</v>
      </c>
      <c r="P250" s="151">
        <f t="shared" ref="P250:P252" ca="1" si="79">IF(M250&gt;0,N250*100/M250,0)</f>
        <v>61.644943820224718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89000</v>
      </c>
      <c r="M252" s="88">
        <f t="shared" ca="1" si="81"/>
        <v>89000</v>
      </c>
      <c r="N252" s="88">
        <f t="shared" ca="1" si="81"/>
        <v>54864</v>
      </c>
      <c r="O252" s="156">
        <f t="shared" ca="1" si="78"/>
        <v>61.644943820224718</v>
      </c>
      <c r="P252" s="156">
        <f t="shared" ca="1" si="79"/>
        <v>61.644943820224718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89000</v>
      </c>
      <c r="M254" s="167">
        <f ca="1">IFERROR(__xludf.DUMMYFUNCTION("IMPORTRANGE(""https://docs.google.com/spreadsheets/d/1Yj_ptqi66GCucihVvJfMjLAmec39IyEx_6qawtMGysU/edit?usp=sharing"",""สบก!CB24"")"),89000)</f>
        <v>89000</v>
      </c>
      <c r="N254" s="168">
        <f ca="1">IFERROR(__xludf.DUMMYFUNCTION("IMPORTRANGE(""https://docs.google.com/spreadsheets/d/1Yj_ptqi66GCucihVvJfMjLAmec39IyEx_6qawtMGysU/edit?usp=sharing"",""สบก!CC24"")"),54864)</f>
        <v>54864</v>
      </c>
      <c r="O254" s="168">
        <f ca="1">IF(L254&gt;0,N254*100/L254,0)</f>
        <v>61.644943820224718</v>
      </c>
      <c r="P254" s="168">
        <f ca="1">IF(M254&gt;0,N254*100/M254,0)</f>
        <v>61.644943820224718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IFERROR(__xludf.DUMMYFUNCTION("IMPORTRANGE(""https://docs.google.com/spreadsheets/d/1Yj_ptqi66GCucihVvJfMjLAmec39IyEx_6qawtMGysU/edit?usp=sharing"",""สบก!BX24"")"),0)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IFERROR(__xludf.DUMMYFUNCTION("IMPORTRANGE(""https://docs.google.com/spreadsheets/d/1Yj_ptqi66GCucihVvJfMjLAmec39IyEx_6qawtMGysU/edit?usp=sharing"",""สบก!BY24"")"),89000)</f>
        <v>89000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IFERROR(__xludf.DUMMYFUNCTION("IMPORTRANGE(""https://docs.google.com/spreadsheets/d/1Yj_ptqi66GCucihVvJfMjLAmec39IyEx_6qawtMGysU/edit?usp=sharing"",""สบก!BZ24"")"),0)</f>
        <v>0</v>
      </c>
      <c r="M258" s="50"/>
      <c r="N258" s="50">
        <f ca="1">IFERROR(__xludf.DUMMYFUNCTION("IMPORTRANGE(""https://docs.google.com/spreadsheets/d/1Yj_ptqi66GCucihVvJfMjLAmec39IyEx_6qawtMGysU/edit?usp=sharing"",""สบก!CD24"")"),0)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IFERROR(__xludf.DUMMYFUNCTION("IMPORTRANGE(""https://docs.google.com/spreadsheets/d/11923uPwbBZFjjGgGUA6NLw09EwE0CqkOc4q9oUmW1yo/edit?usp=sharing"",""นครสวรรค์!J175"")"),0)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IFERROR(__xludf.DUMMYFUNCTION("IMPORTRANGE(""https://docs.google.com/spreadsheets/d/11923uPwbBZFjjGgGUA6NLw09EwE0CqkOc4q9oUmW1yo/edit?usp=sharing"",""นครสวรรค์!J176"")"),1)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IFERROR(__xludf.DUMMYFUNCTION("IMPORTRANGE(""https://docs.google.com/spreadsheets/d/11923uPwbBZFjjGgGUA6NLw09EwE0CqkOc4q9oUmW1yo/edit?usp=sharing"",""นครสวรรค์!J177"")"),1)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IFERROR(__xludf.DUMMYFUNCTION("IMPORTRANGE(""https://docs.google.com/spreadsheets/d/11923uPwbBZFjjGgGUA6NLw09EwE0CqkOc4q9oUmW1yo/edit?usp=sharing"",""นครสวรรค์!J178"")"),1)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IFERROR(__xludf.DUMMYFUNCTION("IMPORTRANGE(""https://docs.google.com/spreadsheets/d/11923uPwbBZFjjGgGUA6NLw09EwE0CqkOc4q9oUmW1yo/edit?usp=sharing"",""นครสวรรค์!I179"")"),1)</f>
        <v>1</v>
      </c>
      <c r="J264" s="188">
        <f ca="1">IFERROR(__xludf.DUMMYFUNCTION("IMPORTRANGE(""https://docs.google.com/spreadsheets/d/11923uPwbBZFjjGgGUA6NLw09EwE0CqkOc4q9oUmW1yo/edit?usp=sharing"",""นครสวรรค์!J179"")"),2)</f>
        <v>2</v>
      </c>
      <c r="K264" s="163">
        <f t="shared" ref="K264:K267" ca="1" si="82">IF(I264&gt;0,J264*100/I264,0)</f>
        <v>200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IFERROR(__xludf.DUMMYFUNCTION("IMPORTRANGE(""https://docs.google.com/spreadsheets/d/11923uPwbBZFjjGgGUA6NLw09EwE0CqkOc4q9oUmW1yo/edit?usp=sharing"",""นครสวรรค์!I180"")"),25)</f>
        <v>25</v>
      </c>
      <c r="J265" s="188">
        <f ca="1">IFERROR(__xludf.DUMMYFUNCTION("IMPORTRANGE(""https://docs.google.com/spreadsheets/d/11923uPwbBZFjjGgGUA6NLw09EwE0CqkOc4q9oUmW1yo/edit?usp=sharing"",""นครสวรรค์!J180"")"),25)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IFERROR(__xludf.DUMMYFUNCTION("IMPORTRANGE(""https://docs.google.com/spreadsheets/d/11923uPwbBZFjjGgGUA6NLw09EwE0CqkOc4q9oUmW1yo/edit?usp=sharing"",""นครสวรรค์!I181"")"),25)</f>
        <v>25</v>
      </c>
      <c r="J266" s="188">
        <f ca="1">IFERROR(__xludf.DUMMYFUNCTION("IMPORTRANGE(""https://docs.google.com/spreadsheets/d/11923uPwbBZFjjGgGUA6NLw09EwE0CqkOc4q9oUmW1yo/edit?usp=sharing"",""นครสวรรค์!J181"")"),0)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IFERROR(__xludf.DUMMYFUNCTION("IMPORTRANGE(""https://docs.google.com/spreadsheets/d/11923uPwbBZFjjGgGUA6NLw09EwE0CqkOc4q9oUmW1yo/edit?usp=sharing"",""นครสวรรค์!I182"")"),1)</f>
        <v>1</v>
      </c>
      <c r="J267" s="188">
        <f ca="1">IFERROR(__xludf.DUMMYFUNCTION("IMPORTRANGE(""https://docs.google.com/spreadsheets/d/11923uPwbBZFjjGgGUA6NLw09EwE0CqkOc4q9oUmW1yo/edit?usp=sharing"",""นครสวรรค์!J182"")"),2)</f>
        <v>2</v>
      </c>
      <c r="K267" s="163">
        <f t="shared" ca="1" si="82"/>
        <v>200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IFERROR(__xludf.DUMMYFUNCTION("IMPORTRANGE(""https://docs.google.com/spreadsheets/d/11923uPwbBZFjjGgGUA6NLw09EwE0CqkOc4q9oUmW1yo/edit?usp=sharing"",""นครสวรรค์!J183"")"),0)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IFERROR(__xludf.DUMMYFUNCTION("IMPORTRANGE(""https://docs.google.com/spreadsheets/d/11923uPwbBZFjjGgGUA6NLw09EwE0CqkOc4q9oUmW1yo/edit?usp=sharing"",""นครสวรรค์!J184"")"),0)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IFERROR(__xludf.DUMMYFUNCTION("IMPORTRANGE(""https://docs.google.com/spreadsheets/d/11923uPwbBZFjjGgGUA6NLw09EwE0CqkOc4q9oUmW1yo/edit?usp=sharing"",""นครสวรรค์!I185"")"),20)</f>
        <v>20</v>
      </c>
      <c r="J270" s="316">
        <f ca="1">IFERROR(__xludf.DUMMYFUNCTION("IMPORTRANGE(""https://docs.google.com/spreadsheets/d/11923uPwbBZFjjGgGUA6NLw09EwE0CqkOc4q9oUmW1yo/edit?usp=sharing"",""นครสวรรค์!J185"")"),20)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121559.86</v>
      </c>
      <c r="O271" s="151">
        <f t="shared" ref="O271:O273" ca="1" si="84">IF(L271&gt;0,N271*100/L271,0)</f>
        <v>66.209074074074067</v>
      </c>
      <c r="P271" s="151">
        <f t="shared" ref="P271:P273" ca="1" si="85">IF(M271&gt;0,N271*100/M271,0)</f>
        <v>66.209074074074067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183600</v>
      </c>
      <c r="N273" s="88">
        <f t="shared" ca="1" si="87"/>
        <v>121559.86</v>
      </c>
      <c r="O273" s="156">
        <f t="shared" ca="1" si="84"/>
        <v>66.209074074074067</v>
      </c>
      <c r="P273" s="156">
        <f t="shared" ca="1" si="85"/>
        <v>66.209074074074067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IFERROR(__xludf.DUMMYFUNCTION("IMPORTRANGE(""https://docs.google.com/spreadsheets/d/1Yj_ptqi66GCucihVvJfMjLAmec39IyEx_6qawtMGysU/edit?usp=sharing"",""สบก!CK24"")"),183600)</f>
        <v>183600</v>
      </c>
      <c r="N275" s="168">
        <f ca="1">IFERROR(__xludf.DUMMYFUNCTION("IMPORTRANGE(""https://docs.google.com/spreadsheets/d/1Yj_ptqi66GCucihVvJfMjLAmec39IyEx_6qawtMGysU/edit?usp=sharing"",""สบก!CL24"")"),121559.86)</f>
        <v>121559.86</v>
      </c>
      <c r="O275" s="168">
        <f ca="1">IF(L275&gt;0,N275*100/L275,0)</f>
        <v>66.209074074074067</v>
      </c>
      <c r="P275" s="168">
        <f ca="1">IF(M275&gt;0,N275*100/M275,0)</f>
        <v>66.209074074074067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IFERROR(__xludf.DUMMYFUNCTION("IMPORTRANGE(""https://docs.google.com/spreadsheets/d/1Yj_ptqi66GCucihVvJfMjLAmec39IyEx_6qawtMGysU/edit?usp=sharing"",""สบก!CG24"")"),0)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IFERROR(__xludf.DUMMYFUNCTION("IMPORTRANGE(""https://docs.google.com/spreadsheets/d/1Yj_ptqi66GCucihVvJfMjLAmec39IyEx_6qawtMGysU/edit?usp=sharing"",""สบก!CH24"")"),183600)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IFERROR(__xludf.DUMMYFUNCTION("IMPORTRANGE(""https://docs.google.com/spreadsheets/d/1Yj_ptqi66GCucihVvJfMjLAmec39IyEx_6qawtMGysU/edit?usp=sharing"",""สบก!CI24"")"),0)</f>
        <v>0</v>
      </c>
      <c r="M279" s="50"/>
      <c r="N279" s="50">
        <f ca="1">IFERROR(__xludf.DUMMYFUNCTION("IMPORTRANGE(""https://docs.google.com/spreadsheets/d/1Yj_ptqi66GCucihVvJfMjLAmec39IyEx_6qawtMGysU/edit?usp=sharing"",""สบก!CM24"")"),0)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IFERROR(__xludf.DUMMYFUNCTION("IMPORTRANGE(""https://docs.google.com/spreadsheets/d/11923uPwbBZFjjGgGUA6NLw09EwE0CqkOc4q9oUmW1yo/edit?usp=sharing"",""นครสวรรค์!J191"")"),0)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IFERROR(__xludf.DUMMYFUNCTION("IMPORTRANGE(""https://docs.google.com/spreadsheets/d/11923uPwbBZFjjGgGUA6NLw09EwE0CqkOc4q9oUmW1yo/edit?usp=sharing"",""นครสวรรค์!J192"")"),1)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IFERROR(__xludf.DUMMYFUNCTION("IMPORTRANGE(""https://docs.google.com/spreadsheets/d/11923uPwbBZFjjGgGUA6NLw09EwE0CqkOc4q9oUmW1yo/edit?usp=sharing"",""นครสวรรค์!J193"")"),1)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IFERROR(__xludf.DUMMYFUNCTION("IMPORTRANGE(""https://docs.google.com/spreadsheets/d/11923uPwbBZFjjGgGUA6NLw09EwE0CqkOc4q9oUmW1yo/edit?usp=sharing"",""นครสวรรค์!J194"")"),1)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IFERROR(__xludf.DUMMYFUNCTION("IMPORTRANGE(""https://docs.google.com/spreadsheets/d/11923uPwbBZFjjGgGUA6NLw09EwE0CqkOc4q9oUmW1yo/edit?usp=sharing"",""นครสวรรค์!I195"")"),20)</f>
        <v>20</v>
      </c>
      <c r="J285" s="188">
        <f ca="1">IFERROR(__xludf.DUMMYFUNCTION("IMPORTRANGE(""https://docs.google.com/spreadsheets/d/11923uPwbBZFjjGgGUA6NLw09EwE0CqkOc4q9oUmW1yo/edit?usp=sharing"",""นครสวรรค์!J195"")"),20)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IFERROR(__xludf.DUMMYFUNCTION("IMPORTRANGE(""https://docs.google.com/spreadsheets/d/11923uPwbBZFjjGgGUA6NLw09EwE0CqkOc4q9oUmW1yo/edit?usp=sharing"",""นครสวรรค์!J196"")"),0)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IFERROR(__xludf.DUMMYFUNCTION("IMPORTRANGE(""https://docs.google.com/spreadsheets/d/11923uPwbBZFjjGgGUA6NLw09EwE0CqkOc4q9oUmW1yo/edit?usp=sharing"",""นครสวรรค์!J197"")"),0)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IFERROR(__xludf.DUMMYFUNCTION("IMPORTRANGE(""https://docs.google.com/spreadsheets/d/11923uPwbBZFjjGgGUA6NLw09EwE0CqkOc4q9oUmW1yo/edit?usp=sharing"",""นครสวรรค์!I199"")"),0)</f>
        <v>0</v>
      </c>
      <c r="J289" s="316">
        <f ca="1">IFERROR(__xludf.DUMMYFUNCTION("IMPORTRANGE(""https://docs.google.com/spreadsheets/d/11923uPwbBZFjjGgGUA6NLw09EwE0CqkOc4q9oUmW1yo/edit?usp=sharing"",""นครสวรรค์!J199"")"),0)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IFERROR(__xludf.DUMMYFUNCTION("IMPORTRANGE(""https://docs.google.com/spreadsheets/d/1Yj_ptqi66GCucihVvJfMjLAmec39IyEx_6qawtMGysU/edit?usp=sharing"",""สบก!CT24"")"),0)</f>
        <v>0</v>
      </c>
      <c r="N294" s="168">
        <f ca="1">IFERROR(__xludf.DUMMYFUNCTION("IMPORTRANGE(""https://docs.google.com/spreadsheets/d/1Yj_ptqi66GCucihVvJfMjLAmec39IyEx_6qawtMGysU/edit?usp=sharing"",""สบก!CU24"")"),0)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IFERROR(__xludf.DUMMYFUNCTION("IMPORTRANGE(""https://docs.google.com/spreadsheets/d/1Yj_ptqi66GCucihVvJfMjLAmec39IyEx_6qawtMGysU/edit?usp=sharing"",""สบก!CP24"")"),0)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IFERROR(__xludf.DUMMYFUNCTION("IMPORTRANGE(""https://docs.google.com/spreadsheets/d/1Yj_ptqi66GCucihVvJfMjLAmec39IyEx_6qawtMGysU/edit?usp=sharing"",""สบก!CQ24"")"),0)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IFERROR(__xludf.DUMMYFUNCTION("IMPORTRANGE(""https://docs.google.com/spreadsheets/d/1Yj_ptqi66GCucihVvJfMjLAmec39IyEx_6qawtMGysU/edit?usp=sharing"",""สบก!CR24"")"),0)</f>
        <v>0</v>
      </c>
      <c r="M298" s="50"/>
      <c r="N298" s="50">
        <f ca="1">IFERROR(__xludf.DUMMYFUNCTION("IMPORTRANGE(""https://docs.google.com/spreadsheets/d/1Yj_ptqi66GCucihVvJfMjLAmec39IyEx_6qawtMGysU/edit?usp=sharing"",""สบก!CV24"")"),0)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IFERROR(__xludf.DUMMYFUNCTION("IMPORTRANGE(""https://docs.google.com/spreadsheets/d/11923uPwbBZFjjGgGUA6NLw09EwE0CqkOc4q9oUmW1yo/edit?usp=sharing"",""นครสวรรค์!J205"")"),0)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IFERROR(__xludf.DUMMYFUNCTION("IMPORTRANGE(""https://docs.google.com/spreadsheets/d/11923uPwbBZFjjGgGUA6NLw09EwE0CqkOc4q9oUmW1yo/edit?usp=sharing"",""นครสวรรค์!J206"")"),0)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IFERROR(__xludf.DUMMYFUNCTION("IMPORTRANGE(""https://docs.google.com/spreadsheets/d/11923uPwbBZFjjGgGUA6NLw09EwE0CqkOc4q9oUmW1yo/edit?usp=sharing"",""นครสวรรค์!J207"")"),0)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IFERROR(__xludf.DUMMYFUNCTION("IMPORTRANGE(""https://docs.google.com/spreadsheets/d/11923uPwbBZFjjGgGUA6NLw09EwE0CqkOc4q9oUmW1yo/edit?usp=sharing"",""นครสวรรค์!J208"")"),0)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IFERROR(__xludf.DUMMYFUNCTION("IMPORTRANGE(""https://docs.google.com/spreadsheets/d/11923uPwbBZFjjGgGUA6NLw09EwE0CqkOc4q9oUmW1yo/edit?usp=sharing"",""นครสวรรค์!I209"")"),0)</f>
        <v>0</v>
      </c>
      <c r="J304" s="203">
        <f ca="1">IFERROR(__xludf.DUMMYFUNCTION("IMPORTRANGE(""https://docs.google.com/spreadsheets/d/11923uPwbBZFjjGgGUA6NLw09EwE0CqkOc4q9oUmW1yo/edit?usp=sharing"",""นครสวรรค์!J209"")"),0)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IFERROR(__xludf.DUMMYFUNCTION("IMPORTRANGE(""https://docs.google.com/spreadsheets/d/11923uPwbBZFjjGgGUA6NLw09EwE0CqkOc4q9oUmW1yo/edit?usp=sharing"",""นครสวรรค์!I211"")"),0)</f>
        <v>0</v>
      </c>
      <c r="J306" s="203">
        <f ca="1">IFERROR(__xludf.DUMMYFUNCTION("IMPORTRANGE(""https://docs.google.com/spreadsheets/d/11923uPwbBZFjjGgGUA6NLw09EwE0CqkOc4q9oUmW1yo/edit?usp=sharing"",""นครสวรรค์!J211"")"),0)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IFERROR(__xludf.DUMMYFUNCTION("IMPORTRANGE(""https://docs.google.com/spreadsheets/d/11923uPwbBZFjjGgGUA6NLw09EwE0CqkOc4q9oUmW1yo/edit?usp=sharing"",""นครสวรรค์!J212"")"),0)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IFERROR(__xludf.DUMMYFUNCTION("IMPORTRANGE(""https://docs.google.com/spreadsheets/d/11923uPwbBZFjjGgGUA6NLw09EwE0CqkOc4q9oUmW1yo/edit?usp=sharing"",""นครสวรรค์!J213"")"),0)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IFERROR(__xludf.DUMMYFUNCTION("IMPORTRANGE(""https://docs.google.com/spreadsheets/d/11923uPwbBZFjjGgGUA6NLw09EwE0CqkOc4q9oUmW1yo/edit?usp=sharing"",""นครสวรรค์!I214"")"),0)</f>
        <v>0</v>
      </c>
      <c r="J309" s="333">
        <f ca="1">IFERROR(__xludf.DUMMYFUNCTION("IMPORTRANGE(""https://docs.google.com/spreadsheets/d/11923uPwbBZFjjGgGUA6NLw09EwE0CqkOc4q9oUmW1yo/edit?usp=sharing"",""นครสวรรค์!J214"")"),0)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IFERROR(__xludf.DUMMYFUNCTION("IMPORTRANGE(""https://docs.google.com/spreadsheets/d/1Yj_ptqi66GCucihVvJfMjLAmec39IyEx_6qawtMGysU/edit?usp=sharing"",""สบก!DC24"")"),0)</f>
        <v>0</v>
      </c>
      <c r="N314" s="168">
        <f ca="1">IFERROR(__xludf.DUMMYFUNCTION("IMPORTRANGE(""https://docs.google.com/spreadsheets/d/1Yj_ptqi66GCucihVvJfMjLAmec39IyEx_6qawtMGysU/edit?usp=sharing"",""สบก!DD24"")"),0)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IFERROR(__xludf.DUMMYFUNCTION("IMPORTRANGE(""https://docs.google.com/spreadsheets/d/1Yj_ptqi66GCucihVvJfMjLAmec39IyEx_6qawtMGysU/edit?usp=sharing"",""สบก!CY24"")"),0)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IFERROR(__xludf.DUMMYFUNCTION("IMPORTRANGE(""https://docs.google.com/spreadsheets/d/1Yj_ptqi66GCucihVvJfMjLAmec39IyEx_6qawtMGysU/edit?usp=sharing"",""สบก!CZ24"")"),0)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IFERROR(__xludf.DUMMYFUNCTION("IMPORTRANGE(""https://docs.google.com/spreadsheets/d/1Yj_ptqi66GCucihVvJfMjLAmec39IyEx_6qawtMGysU/edit?usp=sharing"",""สบก!DA24"")"),0)</f>
        <v>0</v>
      </c>
      <c r="M318" s="50"/>
      <c r="N318" s="50">
        <f ca="1">IFERROR(__xludf.DUMMYFUNCTION("IMPORTRANGE(""https://docs.google.com/spreadsheets/d/1Yj_ptqi66GCucihVvJfMjLAmec39IyEx_6qawtMGysU/edit?usp=sharing"",""สบก!DE24"")"),0)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IFERROR(__xludf.DUMMYFUNCTION("IMPORTRANGE(""https://docs.google.com/spreadsheets/d/11923uPwbBZFjjGgGUA6NLw09EwE0CqkOc4q9oUmW1yo/edit?usp=sharing"",""นครสวรรค์!J220"")"),0)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IFERROR(__xludf.DUMMYFUNCTION("IMPORTRANGE(""https://docs.google.com/spreadsheets/d/11923uPwbBZFjjGgGUA6NLw09EwE0CqkOc4q9oUmW1yo/edit?usp=sharing"",""นครสวรรค์!J221"")"),0)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IFERROR(__xludf.DUMMYFUNCTION("IMPORTRANGE(""https://docs.google.com/spreadsheets/d/11923uPwbBZFjjGgGUA6NLw09EwE0CqkOc4q9oUmW1yo/edit?usp=sharing"",""นครสวรรค์!J222"")"),0)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IFERROR(__xludf.DUMMYFUNCTION("IMPORTRANGE(""https://docs.google.com/spreadsheets/d/11923uPwbBZFjjGgGUA6NLw09EwE0CqkOc4q9oUmW1yo/edit?usp=sharing"",""นครสวรรค์!J223"")"),0)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IFERROR(__xludf.DUMMYFUNCTION("IMPORTRANGE(""https://docs.google.com/spreadsheets/d/11923uPwbBZFjjGgGUA6NLw09EwE0CqkOc4q9oUmW1yo/edit?usp=sharing"",""นครสวรรค์!I224"")"),0)</f>
        <v>0</v>
      </c>
      <c r="J324" s="203">
        <f ca="1">IFERROR(__xludf.DUMMYFUNCTION("IMPORTRANGE(""https://docs.google.com/spreadsheets/d/11923uPwbBZFjjGgGUA6NLw09EwE0CqkOc4q9oUmW1yo/edit?usp=sharing"",""นครสวรรค์!J224"")"),0)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IFERROR(__xludf.DUMMYFUNCTION("IMPORTRANGE(""https://docs.google.com/spreadsheets/d/11923uPwbBZFjjGgGUA6NLw09EwE0CqkOc4q9oUmW1yo/edit?usp=sharing"",""นครสวรรค์!J225"")"),0)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IFERROR(__xludf.DUMMYFUNCTION("IMPORTRANGE(""https://docs.google.com/spreadsheets/d/11923uPwbBZFjjGgGUA6NLw09EwE0CqkOc4q9oUmW1yo/edit?usp=sharing"",""นครสวรรค์!J226"")"),0)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IFERROR(__xludf.DUMMYFUNCTION("IMPORTRANGE(""https://docs.google.com/spreadsheets/d/11923uPwbBZFjjGgGUA6NLw09EwE0CqkOc4q9oUmW1yo/edit?usp=sharing"",""นครสวรรค์!I228"")"),453)</f>
        <v>453</v>
      </c>
      <c r="J328" s="339">
        <f ca="1">IFERROR(__xludf.DUMMYFUNCTION("IMPORTRANGE(""https://docs.google.com/spreadsheets/d/11923uPwbBZFjjGgGUA6NLw09EwE0CqkOc4q9oUmW1yo/edit?usp=sharing"",""นครสวรรค์!J228"")"),58)</f>
        <v>58</v>
      </c>
      <c r="K328" s="317">
        <f ca="1">IF(I328&gt;0,J328*100/I328,0)</f>
        <v>12.803532008830022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1248250</v>
      </c>
      <c r="M329" s="152">
        <f t="shared" ca="1" si="98"/>
        <v>1179350</v>
      </c>
      <c r="N329" s="152">
        <f t="shared" ca="1" si="98"/>
        <v>887316.8</v>
      </c>
      <c r="O329" s="151">
        <f t="shared" ref="O329:O331" ca="1" si="99">IF(L329&gt;0,N329*100/L329,0)</f>
        <v>71.084862807931103</v>
      </c>
      <c r="P329" s="151">
        <f t="shared" ref="P329:P331" ca="1" si="100">IF(M329&gt;0,N329*100/M329,0)</f>
        <v>75.237783524823001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1248250</v>
      </c>
      <c r="M331" s="88">
        <f t="shared" ca="1" si="102"/>
        <v>1179350</v>
      </c>
      <c r="N331" s="88">
        <f t="shared" ca="1" si="102"/>
        <v>887316.8</v>
      </c>
      <c r="O331" s="156">
        <f t="shared" ca="1" si="99"/>
        <v>71.084862807931103</v>
      </c>
      <c r="P331" s="156">
        <f t="shared" ca="1" si="100"/>
        <v>75.237783524823001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1143250</v>
      </c>
      <c r="M333" s="167">
        <f ca="1">IFERROR(__xludf.DUMMYFUNCTION("IMPORTRANGE(""https://docs.google.com/spreadsheets/d/1Yj_ptqi66GCucihVvJfMjLAmec39IyEx_6qawtMGysU/edit?usp=sharing"",""สบก!DL24"")"),1074350)</f>
        <v>1074350</v>
      </c>
      <c r="N333" s="168">
        <f ca="1">IFERROR(__xludf.DUMMYFUNCTION("IMPORTRANGE(""https://docs.google.com/spreadsheets/d/1Yj_ptqi66GCucihVvJfMjLAmec39IyEx_6qawtMGysU/edit?usp=sharing"",""สบก!DM24"")"),782316.8)</f>
        <v>782316.8</v>
      </c>
      <c r="O333" s="168">
        <f ca="1">IF(L333&gt;0,N333*100/L333,0)</f>
        <v>68.429197463371963</v>
      </c>
      <c r="P333" s="168">
        <f ca="1">IF(M333&gt;0,N333*100/M333,0)</f>
        <v>72.817685111928142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IFERROR(__xludf.DUMMYFUNCTION("IMPORTRANGE(""https://docs.google.com/spreadsheets/d/1Yj_ptqi66GCucihVvJfMjLAmec39IyEx_6qawtMGysU/edit?usp=sharing"",""สบก!DH24"")"),529200)</f>
        <v>529200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IFERROR(__xludf.DUMMYFUNCTION("IMPORTRANGE(""https://docs.google.com/spreadsheets/d/1Yj_ptqi66GCucihVvJfMjLAmec39IyEx_6qawtMGysU/edit?usp=sharing"",""สบก!DI24"")"),614050)</f>
        <v>614050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IFERROR(__xludf.DUMMYFUNCTION("IMPORTRANGE(""https://docs.google.com/spreadsheets/d/1Yj_ptqi66GCucihVvJfMjLAmec39IyEx_6qawtMGysU/edit?usp=sharing"",""สบก!DJ24"")"),105000)</f>
        <v>105000</v>
      </c>
      <c r="M337" s="50">
        <f ca="1">L337</f>
        <v>105000</v>
      </c>
      <c r="N337" s="50">
        <f ca="1">IFERROR(__xludf.DUMMYFUNCTION("IMPORTRANGE(""https://docs.google.com/spreadsheets/d/1Yj_ptqi66GCucihVvJfMjLAmec39IyEx_6qawtMGysU/edit?usp=sharing"",""สบก!DN24"")"),105000)</f>
        <v>105000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IFERROR(__xludf.DUMMYFUNCTION("IMPORTRANGE(""https://docs.google.com/spreadsheets/d/11923uPwbBZFjjGgGUA6NLw09EwE0CqkOc4q9oUmW1yo/edit?usp=sharing"",""นครสวรรค์!I234"")"),0)</f>
        <v>0</v>
      </c>
      <c r="J339" s="187">
        <f ca="1">IFERROR(__xludf.DUMMYFUNCTION("IMPORTRANGE(""https://docs.google.com/spreadsheets/d/11923uPwbBZFjjGgGUA6NLw09EwE0CqkOc4q9oUmW1yo/edit?usp=sharing"",""นครสวรรค์!J234"")"),592)</f>
        <v>592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IFERROR(__xludf.DUMMYFUNCTION("IMPORTRANGE(""https://docs.google.com/spreadsheets/d/11923uPwbBZFjjGgGUA6NLw09EwE0CqkOc4q9oUmW1yo/edit?usp=sharing"",""นครสวรรค์!I235"")"),4500)</f>
        <v>4500</v>
      </c>
      <c r="J340" s="187">
        <f ca="1">IFERROR(__xludf.DUMMYFUNCTION("IMPORTRANGE(""https://docs.google.com/spreadsheets/d/11923uPwbBZFjjGgGUA6NLw09EwE0CqkOc4q9oUmW1yo/edit?usp=sharing"",""นครสวรรค์!J235"")"),4246.94)</f>
        <v>4246.9399999999996</v>
      </c>
      <c r="K340" s="342">
        <f t="shared" ca="1" si="103"/>
        <v>94.376444444444431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IFERROR(__xludf.DUMMYFUNCTION("IMPORTRANGE(""https://docs.google.com/spreadsheets/d/11923uPwbBZFjjGgGUA6NLw09EwE0CqkOc4q9oUmW1yo/edit?usp=sharing"",""นครสวรรค์!I236"")"),453)</f>
        <v>453</v>
      </c>
      <c r="J341" s="187">
        <f ca="1">IFERROR(__xludf.DUMMYFUNCTION("IMPORTRANGE(""https://docs.google.com/spreadsheets/d/11923uPwbBZFjjGgGUA6NLw09EwE0CqkOc4q9oUmW1yo/edit?usp=sharing"",""นครสวรรค์!J236"")"),301)</f>
        <v>301</v>
      </c>
      <c r="K341" s="342">
        <f t="shared" ca="1" si="103"/>
        <v>66.445916114790293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IFERROR(__xludf.DUMMYFUNCTION("IMPORTRANGE(""https://docs.google.com/spreadsheets/d/11923uPwbBZFjjGgGUA6NLw09EwE0CqkOc4q9oUmW1yo/edit?usp=sharing"",""นครสวรรค์!I237"")"),0)</f>
        <v>0</v>
      </c>
      <c r="J342" s="187">
        <f ca="1">IFERROR(__xludf.DUMMYFUNCTION("IMPORTRANGE(""https://docs.google.com/spreadsheets/d/11923uPwbBZFjjGgGUA6NLw09EwE0CqkOc4q9oUmW1yo/edit?usp=sharing"",""นครสวรรค์!J237"")"),2072.79)</f>
        <v>2072.79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IFERROR(__xludf.DUMMYFUNCTION("IMPORTRANGE(""https://docs.google.com/spreadsheets/d/11923uPwbBZFjjGgGUA6NLw09EwE0CqkOc4q9oUmW1yo/edit?usp=sharing"",""นครสวรรค์!I238"")"),453)</f>
        <v>453</v>
      </c>
      <c r="J343" s="187">
        <f ca="1">IFERROR(__xludf.DUMMYFUNCTION("IMPORTRANGE(""https://docs.google.com/spreadsheets/d/11923uPwbBZFjjGgGUA6NLw09EwE0CqkOc4q9oUmW1yo/edit?usp=sharing"",""นครสวรรค์!J238"")"),0)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IFERROR(__xludf.DUMMYFUNCTION("IMPORTRANGE(""https://docs.google.com/spreadsheets/d/11923uPwbBZFjjGgGUA6NLw09EwE0CqkOc4q9oUmW1yo/edit?usp=sharing"",""นครสวรรค์!I239"")"),0)</f>
        <v>0</v>
      </c>
      <c r="J344" s="187">
        <f ca="1">IFERROR(__xludf.DUMMYFUNCTION("IMPORTRANGE(""https://docs.google.com/spreadsheets/d/11923uPwbBZFjjGgGUA6NLw09EwE0CqkOc4q9oUmW1yo/edit?usp=sharing"",""นครสวรรค์!J239"")"),0)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IFERROR(__xludf.DUMMYFUNCTION("IMPORTRANGE(""https://docs.google.com/spreadsheets/d/11923uPwbBZFjjGgGUA6NLw09EwE0CqkOc4q9oUmW1yo/edit?usp=sharing"",""นครสวรรค์!I240"")"),453)</f>
        <v>453</v>
      </c>
      <c r="J345" s="187">
        <f ca="1">IFERROR(__xludf.DUMMYFUNCTION("IMPORTRANGE(""https://docs.google.com/spreadsheets/d/11923uPwbBZFjjGgGUA6NLw09EwE0CqkOc4q9oUmW1yo/edit?usp=sharing"",""นครสวรรค์!J240"")"),58)</f>
        <v>58</v>
      </c>
      <c r="K345" s="342">
        <f t="shared" ca="1" si="103"/>
        <v>12.803532008830022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IFERROR(__xludf.DUMMYFUNCTION("IMPORTRANGE(""https://docs.google.com/spreadsheets/d/11923uPwbBZFjjGgGUA6NLw09EwE0CqkOc4q9oUmW1yo/edit?usp=sharing"",""นครสวรรค์!I241"")"),0)</f>
        <v>0</v>
      </c>
      <c r="J346" s="187">
        <f ca="1">IFERROR(__xludf.DUMMYFUNCTION("IMPORTRANGE(""https://docs.google.com/spreadsheets/d/11923uPwbBZFjjGgGUA6NLw09EwE0CqkOc4q9oUmW1yo/edit?usp=sharing"",""นครสวรรค์!J241"")"),743.81)</f>
        <v>743.81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IFERROR(__xludf.DUMMYFUNCTION("IMPORTRANGE(""https://docs.google.com/spreadsheets/d/11923uPwbBZFjjGgGUA6NLw09EwE0CqkOc4q9oUmW1yo/edit?usp=sharing"",""นครสวรรค์!L242"")"),2302113)</f>
        <v>2302113</v>
      </c>
      <c r="M347" s="357"/>
      <c r="N347" s="357">
        <f ca="1">IFERROR(__xludf.DUMMYFUNCTION("IMPORTRANGE(""https://docs.google.com/spreadsheets/d/11923uPwbBZFjjGgGUA6NLw09EwE0CqkOc4q9oUmW1yo/edit?usp=sharing"",""นครสวรรค์!M242"")"),1107568.83)</f>
        <v>1107568.83</v>
      </c>
      <c r="O347" s="357">
        <f ca="1">+IF(L347&gt;0,N347*100/L347,0)</f>
        <v>48.110967185364053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IFERROR(__xludf.DUMMYFUNCTION("IMPORTRANGE(""https://docs.google.com/spreadsheets/d/11923uPwbBZFjjGgGUA6NLw09EwE0CqkOc4q9oUmW1yo/edit?usp=sharing"",""นครสวรรค์!I244"")"),110)</f>
        <v>110</v>
      </c>
      <c r="J349" s="370">
        <f ca="1">IFERROR(__xludf.DUMMYFUNCTION("IMPORTRANGE(""https://docs.google.com/spreadsheets/d/11923uPwbBZFjjGgGUA6NLw09EwE0CqkOc4q9oUmW1yo/edit?usp=sharing"",""นครสวรรค์!J244"")"),40)</f>
        <v>40</v>
      </c>
      <c r="K349" s="371">
        <f t="shared" ref="K349:K350" ca="1" si="104">IF(I349&gt;0,J349*100/I349,0)</f>
        <v>36.363636363636367</v>
      </c>
      <c r="L349" s="372">
        <f ca="1">IFERROR(__xludf.DUMMYFUNCTION("IMPORTRANGE(""https://docs.google.com/spreadsheets/d/11923uPwbBZFjjGgGUA6NLw09EwE0CqkOc4q9oUmW1yo/edit?usp=sharing"",""นครสวรรค์!L244"")"),354030)</f>
        <v>354030</v>
      </c>
      <c r="M349" s="372"/>
      <c r="N349" s="372">
        <f ca="1">IFERROR(__xludf.DUMMYFUNCTION("IMPORTRANGE(""https://docs.google.com/spreadsheets/d/11923uPwbBZFjjGgGUA6NLw09EwE0CqkOc4q9oUmW1yo/edit?usp=sharing"",""นครสวรรค์!M244"")"),239783)</f>
        <v>239783</v>
      </c>
      <c r="O349" s="372">
        <f ca="1">+IF(L349&gt;0,N349*100/L349,0)</f>
        <v>67.729570940315796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IFERROR(__xludf.DUMMYFUNCTION("IMPORTRANGE(""https://docs.google.com/spreadsheets/d/11923uPwbBZFjjGgGUA6NLw09EwE0CqkOc4q9oUmW1yo/edit?usp=sharing"",""นครสวรรค์!I245"")"),55)</f>
        <v>55</v>
      </c>
      <c r="J350" s="370">
        <f ca="1">IFERROR(__xludf.DUMMYFUNCTION("IMPORTRANGE(""https://docs.google.com/spreadsheets/d/11923uPwbBZFjjGgGUA6NLw09EwE0CqkOc4q9oUmW1yo/edit?usp=sharing"",""นครสวรรค์!J245"")"),55)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IFERROR(__xludf.DUMMYFUNCTION("IMPORTRANGE(""https://docs.google.com/spreadsheets/d/11923uPwbBZFjjGgGUA6NLw09EwE0CqkOc4q9oUmW1yo/edit?usp=sharing"",""นครสวรรค์!L246"")"),0)</f>
        <v>0</v>
      </c>
      <c r="M351" s="164"/>
      <c r="N351" s="164">
        <f ca="1">IFERROR(__xludf.DUMMYFUNCTION("IMPORTRANGE(""https://docs.google.com/spreadsheets/d/11923uPwbBZFjjGgGUA6NLw09EwE0CqkOc4q9oUmW1yo/edit?usp=sharing"",""นครสวรรค์!M246"")"),0)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IFERROR(__xludf.DUMMYFUNCTION("IMPORTRANGE(""https://docs.google.com/spreadsheets/d/11923uPwbBZFjjGgGUA6NLw09EwE0CqkOc4q9oUmW1yo/edit?usp=sharing"",""นครสวรรค์!L247"")"),354030)</f>
        <v>354030</v>
      </c>
      <c r="M352" s="165"/>
      <c r="N352" s="164">
        <f ca="1">IFERROR(__xludf.DUMMYFUNCTION("IMPORTRANGE(""https://docs.google.com/spreadsheets/d/11923uPwbBZFjjGgGUA6NLw09EwE0CqkOc4q9oUmW1yo/edit?usp=sharing"",""นครสวรรค์!M247"")"),239783)</f>
        <v>239783</v>
      </c>
      <c r="O352" s="165">
        <f t="shared" ca="1" si="105"/>
        <v>67.729570940315796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IFERROR(__xludf.DUMMYFUNCTION("IMPORTRANGE(""https://docs.google.com/spreadsheets/d/11923uPwbBZFjjGgGUA6NLw09EwE0CqkOc4q9oUmW1yo/edit?usp=sharing"",""นครสวรรค์!L248"")"),0)</f>
        <v>0</v>
      </c>
      <c r="M353" s="168"/>
      <c r="N353" s="168">
        <f ca="1">IFERROR(__xludf.DUMMYFUNCTION("IMPORTRANGE(""https://docs.google.com/spreadsheets/d/11923uPwbBZFjjGgGUA6NLw09EwE0CqkOc4q9oUmW1yo/edit?usp=sharing"",""นครสวรรค์!M248"")"),0)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IFERROR(__xludf.DUMMYFUNCTION("IMPORTRANGE(""https://docs.google.com/spreadsheets/d/11923uPwbBZFjjGgGUA6NLw09EwE0CqkOc4q9oUmW1yo/edit?usp=sharing"",""นครสวรรค์!L249"")"),354030)</f>
        <v>354030</v>
      </c>
      <c r="M354" s="168"/>
      <c r="N354" s="167">
        <f ca="1">IFERROR(__xludf.DUMMYFUNCTION("IMPORTRANGE(""https://docs.google.com/spreadsheets/d/11923uPwbBZFjjGgGUA6NLw09EwE0CqkOc4q9oUmW1yo/edit?usp=sharing"",""นครสวรรค์!M249"")"),239783)</f>
        <v>239783</v>
      </c>
      <c r="O354" s="168">
        <f t="shared" ca="1" si="105"/>
        <v>67.729570940315796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IFERROR(__xludf.DUMMYFUNCTION("IMPORTRANGE(""https://docs.google.com/spreadsheets/d/11923uPwbBZFjjGgGUA6NLw09EwE0CqkOc4q9oUmW1yo/edit?usp=sharing"",""นครสวรรค์!M250"")"),67500)</f>
        <v>67500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IFERROR(__xludf.DUMMYFUNCTION("IMPORTRANGE(""https://docs.google.com/spreadsheets/d/11923uPwbBZFjjGgGUA6NLw09EwE0CqkOc4q9oUmW1yo/edit?usp=sharing"",""นครสวรรค์!M251"")"),99000)</f>
        <v>99000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IFERROR(__xludf.DUMMYFUNCTION("IMPORTRANGE(""https://docs.google.com/spreadsheets/d/11923uPwbBZFjjGgGUA6NLw09EwE0CqkOc4q9oUmW1yo/edit?usp=sharing"",""นครสวรรค์!M252"")"),63798)</f>
        <v>63798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IFERROR(__xludf.DUMMYFUNCTION("IMPORTRANGE(""https://docs.google.com/spreadsheets/d/11923uPwbBZFjjGgGUA6NLw09EwE0CqkOc4q9oUmW1yo/edit?usp=sharing"",""นครสวรรค์!M253"")"),9485)</f>
        <v>9485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IFERROR(__xludf.DUMMYFUNCTION("IMPORTRANGE(""https://docs.google.com/spreadsheets/d/11923uPwbBZFjjGgGUA6NLw09EwE0CqkOc4q9oUmW1yo/edit?usp=sharing"",""นครสวรรค์!J255"")"),0)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IFERROR(__xludf.DUMMYFUNCTION("IMPORTRANGE(""https://docs.google.com/spreadsheets/d/11923uPwbBZFjjGgGUA6NLw09EwE0CqkOc4q9oUmW1yo/edit?usp=sharing"",""นครสวรรค์!J256"")"),1)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IFERROR(__xludf.DUMMYFUNCTION("IMPORTRANGE(""https://docs.google.com/spreadsheets/d/11923uPwbBZFjjGgGUA6NLw09EwE0CqkOc4q9oUmW1yo/edit?usp=sharing"",""นครสวรรค์!J257"")"),1)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IFERROR(__xludf.DUMMYFUNCTION("IMPORTRANGE(""https://docs.google.com/spreadsheets/d/11923uPwbBZFjjGgGUA6NLw09EwE0CqkOc4q9oUmW1yo/edit?usp=sharing"",""นครสวรรค์!J258"")"),1)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IFERROR(__xludf.DUMMYFUNCTION("IMPORTRANGE(""https://docs.google.com/spreadsheets/d/11923uPwbBZFjjGgGUA6NLw09EwE0CqkOc4q9oUmW1yo/edit?usp=sharing"",""นครสวรรค์!J166"")"),0)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IFERROR(__xludf.DUMMYFUNCTION("IMPORTRANGE(""https://docs.google.com/spreadsheets/d/11923uPwbBZFjjGgGUA6NLw09EwE0CqkOc4q9oUmW1yo/edit?usp=sharing"",""นครสวรรค์!J166"")"),0)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IFERROR(__xludf.DUMMYFUNCTION("IMPORTRANGE(""https://docs.google.com/spreadsheets/d/11923uPwbBZFjjGgGUA6NLw09EwE0CqkOc4q9oUmW1yo/edit?usp=sharing"",""นครสวรรค์!J166"")"),0)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IFERROR(__xludf.DUMMYFUNCTION("IMPORTRANGE(""https://docs.google.com/spreadsheets/d/11923uPwbBZFjjGgGUA6NLw09EwE0CqkOc4q9oUmW1yo/edit?usp=sharing"",""นครสวรรค์!J166"")"),0)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IFERROR(__xludf.DUMMYFUNCTION("IMPORTRANGE(""https://docs.google.com/spreadsheets/d/11923uPwbBZFjjGgGUA6NLw09EwE0CqkOc4q9oUmW1yo/edit?usp=sharing"",""นครสวรรค์!I263"")"),55)</f>
        <v>55</v>
      </c>
      <c r="J368" s="187">
        <f ca="1">IFERROR(__xludf.DUMMYFUNCTION("IMPORTRANGE(""https://docs.google.com/spreadsheets/d/11923uPwbBZFjjGgGUA6NLw09EwE0CqkOc4q9oUmW1yo/edit?usp=sharing"",""นครสวรรค์!J263"")"),55)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IFERROR(__xludf.DUMMYFUNCTION("IMPORTRANGE(""https://docs.google.com/spreadsheets/d/11923uPwbBZFjjGgGUA6NLw09EwE0CqkOc4q9oUmW1yo/edit?usp=sharing"",""นครสวรรค์!I164"")"),0)</f>
        <v>0</v>
      </c>
      <c r="J369" s="203">
        <f ca="1">IFERROR(__xludf.DUMMYFUNCTION("IMPORTRANGE(""https://docs.google.com/spreadsheets/d/11923uPwbBZFjjGgGUA6NLw09EwE0CqkOc4q9oUmW1yo/edit?usp=sharing"",""นครสวรรค์!J164"")"),0)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IFERROR(__xludf.DUMMYFUNCTION("IMPORTRANGE(""https://docs.google.com/spreadsheets/d/11923uPwbBZFjjGgGUA6NLw09EwE0CqkOc4q9oUmW1yo/edit?usp=sharing"",""นครสวรรค์!I265"")"),55)</f>
        <v>55</v>
      </c>
      <c r="J370" s="203">
        <f ca="1">IFERROR(__xludf.DUMMYFUNCTION("IMPORTRANGE(""https://docs.google.com/spreadsheets/d/11923uPwbBZFjjGgGUA6NLw09EwE0CqkOc4q9oUmW1yo/edit?usp=sharing"",""นครสวรรค์!J265"")"),55)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IFERROR(__xludf.DUMMYFUNCTION("IMPORTRANGE(""https://docs.google.com/spreadsheets/d/11923uPwbBZFjjGgGUA6NLw09EwE0CqkOc4q9oUmW1yo/edit?usp=sharing"",""นครสวรรค์!I164"")"),0)</f>
        <v>0</v>
      </c>
      <c r="J371" s="188">
        <f ca="1">IFERROR(__xludf.DUMMYFUNCTION("IMPORTRANGE(""https://docs.google.com/spreadsheets/d/11923uPwbBZFjjGgGUA6NLw09EwE0CqkOc4q9oUmW1yo/edit?usp=sharing"",""นครสวรรค์!J164"")"),0)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IFERROR(__xludf.DUMMYFUNCTION("IMPORTRANGE(""https://docs.google.com/spreadsheets/d/11923uPwbBZFjjGgGUA6NLw09EwE0CqkOc4q9oUmW1yo/edit?usp=sharing"",""นครสวรรค์!I267"")"),55)</f>
        <v>55</v>
      </c>
      <c r="J372" s="188">
        <f ca="1">IFERROR(__xludf.DUMMYFUNCTION("IMPORTRANGE(""https://docs.google.com/spreadsheets/d/11923uPwbBZFjjGgGUA6NLw09EwE0CqkOc4q9oUmW1yo/edit?usp=sharing"",""นครสวรรค์!J267"")"),55)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IFERROR(__xludf.DUMMYFUNCTION("IMPORTRANGE(""https://docs.google.com/spreadsheets/d/11923uPwbBZFjjGgGUA6NLw09EwE0CqkOc4q9oUmW1yo/edit?usp=sharing"",""นครสวรรค์!I164"")"),0)</f>
        <v>0</v>
      </c>
      <c r="J373" s="203">
        <f ca="1">IFERROR(__xludf.DUMMYFUNCTION("IMPORTRANGE(""https://docs.google.com/spreadsheets/d/11923uPwbBZFjjGgGUA6NLw09EwE0CqkOc4q9oUmW1yo/edit?usp=sharing"",""นครสวรรค์!J164"")"),0)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IFERROR(__xludf.DUMMYFUNCTION("IMPORTRANGE(""https://docs.google.com/spreadsheets/d/11923uPwbBZFjjGgGUA6NLw09EwE0CqkOc4q9oUmW1yo/edit?usp=sharing"",""นครสวรรค์!I164"")"),0)</f>
        <v>0</v>
      </c>
      <c r="J374" s="187">
        <f ca="1">IFERROR(__xludf.DUMMYFUNCTION("IMPORTRANGE(""https://docs.google.com/spreadsheets/d/11923uPwbBZFjjGgGUA6NLw09EwE0CqkOc4q9oUmW1yo/edit?usp=sharing"",""นครสวรรค์!J164"")"),0)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IFERROR(__xludf.DUMMYFUNCTION("IMPORTRANGE(""https://docs.google.com/spreadsheets/d/11923uPwbBZFjjGgGUA6NLw09EwE0CqkOc4q9oUmW1yo/edit?usp=sharing"",""นครสวรรค์!I270"")"),110)</f>
        <v>110</v>
      </c>
      <c r="J375" s="187">
        <f ca="1">IFERROR(__xludf.DUMMYFUNCTION("IMPORTRANGE(""https://docs.google.com/spreadsheets/d/11923uPwbBZFjjGgGUA6NLw09EwE0CqkOc4q9oUmW1yo/edit?usp=sharing"",""นครสวรรค์!J270"")"),40)</f>
        <v>40</v>
      </c>
      <c r="K375" s="163">
        <f t="shared" ref="K375:K377" ca="1" si="107">IF(I375&gt;0,J375*100/I375,0)</f>
        <v>36.363636363636367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IFERROR(__xludf.DUMMYFUNCTION("IMPORTRANGE(""https://docs.google.com/spreadsheets/d/11923uPwbBZFjjGgGUA6NLw09EwE0CqkOc4q9oUmW1yo/edit?usp=sharing"",""นครสวรรค์!I271"")"),40)</f>
        <v>40</v>
      </c>
      <c r="J376" s="188">
        <f ca="1">IFERROR(__xludf.DUMMYFUNCTION("IMPORTRANGE(""https://docs.google.com/spreadsheets/d/11923uPwbBZFjjGgGUA6NLw09EwE0CqkOc4q9oUmW1yo/edit?usp=sharing"",""นครสวรรค์!J271"")"),40)</f>
        <v>40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IFERROR(__xludf.DUMMYFUNCTION("IMPORTRANGE(""https://docs.google.com/spreadsheets/d/11923uPwbBZFjjGgGUA6NLw09EwE0CqkOc4q9oUmW1yo/edit?usp=sharing"",""นครสวรรค์!I272"")"),70)</f>
        <v>70</v>
      </c>
      <c r="J377" s="203">
        <f ca="1">IFERROR(__xludf.DUMMYFUNCTION("IMPORTRANGE(""https://docs.google.com/spreadsheets/d/11923uPwbBZFjjGgGUA6NLw09EwE0CqkOc4q9oUmW1yo/edit?usp=sharing"",""นครสวรรค์!J272"")"),0)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IFERROR(__xludf.DUMMYFUNCTION("IMPORTRANGE(""https://docs.google.com/spreadsheets/d/11923uPwbBZFjjGgGUA6NLw09EwE0CqkOc4q9oUmW1yo/edit?usp=sharing"",""นครสวรรค์!J273"")"),0)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IFERROR(__xludf.DUMMYFUNCTION("IMPORTRANGE(""https://docs.google.com/spreadsheets/d/11923uPwbBZFjjGgGUA6NLw09EwE0CqkOc4q9oUmW1yo/edit?usp=sharing"",""นครสวรรค์!J274"")"),0)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IFERROR(__xludf.DUMMYFUNCTION("IMPORTRANGE(""https://docs.google.com/spreadsheets/d/11923uPwbBZFjjGgGUA6NLw09EwE0CqkOc4q9oUmW1yo/edit?usp=sharing"",""นครสวรรค์!I275"")"),1000)</f>
        <v>1000</v>
      </c>
      <c r="J380" s="370">
        <f ca="1">IFERROR(__xludf.DUMMYFUNCTION("IMPORTRANGE(""https://docs.google.com/spreadsheets/d/11923uPwbBZFjjGgGUA6NLw09EwE0CqkOc4q9oUmW1yo/edit?usp=sharing"",""นครสวรรค์!J275"")"),0)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IFERROR(__xludf.DUMMYFUNCTION("IMPORTRANGE(""https://docs.google.com/spreadsheets/d/11923uPwbBZFjjGgGUA6NLw09EwE0CqkOc4q9oUmW1yo/edit?usp=sharing"",""นครสวรรค์!L275"")"),1028520)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IFERROR(__xludf.DUMMYFUNCTION("IMPORTRANGE(""https://docs.google.com/spreadsheets/d/11923uPwbBZFjjGgGUA6NLw09EwE0CqkOc4q9oUmW1yo/edit?usp=sharing"",""นครสวรรค์!M275"")"),287654)</f>
        <v>287654</v>
      </c>
      <c r="O380" s="372">
        <f ca="1">+IF(L380&gt;0,N380*100/L380,0)</f>
        <v>27.967759499086064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IFERROR(__xludf.DUMMYFUNCTION("IMPORTRANGE(""https://docs.google.com/spreadsheets/d/11923uPwbBZFjjGgGUA6NLw09EwE0CqkOc4q9oUmW1yo/edit?usp=sharing"",""นครสวรรค์!I276"")"),100)</f>
        <v>100</v>
      </c>
      <c r="J381" s="370">
        <f ca="1">IFERROR(__xludf.DUMMYFUNCTION("IMPORTRANGE(""https://docs.google.com/spreadsheets/d/11923uPwbBZFjjGgGUA6NLw09EwE0CqkOc4q9oUmW1yo/edit?usp=sharing"",""นครสวรรค์!J276"")"),100)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IFERROR(__xludf.DUMMYFUNCTION("IMPORTRANGE(""https://docs.google.com/spreadsheets/d/11923uPwbBZFjjGgGUA6NLw09EwE0CqkOc4q9oUmW1yo/edit?usp=sharing"",""นครสวรรค์!L277"")"),0)</f>
        <v>0</v>
      </c>
      <c r="M382" s="164"/>
      <c r="N382" s="164">
        <f ca="1">IFERROR(__xludf.DUMMYFUNCTION("IMPORTRANGE(""https://docs.google.com/spreadsheets/d/11923uPwbBZFjjGgGUA6NLw09EwE0CqkOc4q9oUmW1yo/edit?usp=sharing"",""นครสวรรค์!M277"")"),0)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IFERROR(__xludf.DUMMYFUNCTION("IMPORTRANGE(""https://docs.google.com/spreadsheets/d/11923uPwbBZFjjGgGUA6NLw09EwE0CqkOc4q9oUmW1yo/edit?usp=sharing"",""นครสวรรค์!L278"")"),1028520)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IFERROR(__xludf.DUMMYFUNCTION("IMPORTRANGE(""https://docs.google.com/spreadsheets/d/11923uPwbBZFjjGgGUA6NLw09EwE0CqkOc4q9oUmW1yo/edit?usp=sharing"",""นครสวรรค์!M278"")"),287654)</f>
        <v>287654</v>
      </c>
      <c r="O383" s="165">
        <f t="shared" ca="1" si="109"/>
        <v>27.967759499086064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IFERROR(__xludf.DUMMYFUNCTION("IMPORTRANGE(""https://docs.google.com/spreadsheets/d/11923uPwbBZFjjGgGUA6NLw09EwE0CqkOc4q9oUmW1yo/edit?usp=sharing"",""นครสวรรค์!L279"")"),0)</f>
        <v>0</v>
      </c>
      <c r="M384" s="168"/>
      <c r="N384" s="168">
        <f ca="1">IFERROR(__xludf.DUMMYFUNCTION("IMPORTRANGE(""https://docs.google.com/spreadsheets/d/11923uPwbBZFjjGgGUA6NLw09EwE0CqkOc4q9oUmW1yo/edit?usp=sharing"",""นครสวรรค์!M279"")"),0)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IFERROR(__xludf.DUMMYFUNCTION("IMPORTRANGE(""https://docs.google.com/spreadsheets/d/11923uPwbBZFjjGgGUA6NLw09EwE0CqkOc4q9oUmW1yo/edit?usp=sharing"",""นครสวรรค์!L280"")"),1028520)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IFERROR(__xludf.DUMMYFUNCTION("IMPORTRANGE(""https://docs.google.com/spreadsheets/d/11923uPwbBZFjjGgGUA6NLw09EwE0CqkOc4q9oUmW1yo/edit?usp=sharing"",""นครสวรรค์!M280"")"),287654)</f>
        <v>287654</v>
      </c>
      <c r="O385" s="168">
        <f t="shared" ca="1" si="109"/>
        <v>27.967759499086064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IFERROR(__xludf.DUMMYFUNCTION("IMPORTRANGE(""https://docs.google.com/spreadsheets/d/11923uPwbBZFjjGgGUA6NLw09EwE0CqkOc4q9oUmW1yo/edit?usp=sharing"",""นครสวรรค์!M281"")"),193885)</f>
        <v>193885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IFERROR(__xludf.DUMMYFUNCTION("IMPORTRANGE(""https://docs.google.com/spreadsheets/d/11923uPwbBZFjjGgGUA6NLw09EwE0CqkOc4q9oUmW1yo/edit?usp=sharing"",""นครสวรรค์!M282"")"),0)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IFERROR(__xludf.DUMMYFUNCTION("IMPORTRANGE(""https://docs.google.com/spreadsheets/d/11923uPwbBZFjjGgGUA6NLw09EwE0CqkOc4q9oUmW1yo/edit?usp=sharing"",""นครสวรรค์!M283"")"),83229)</f>
        <v>83229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IFERROR(__xludf.DUMMYFUNCTION("IMPORTRANGE(""https://docs.google.com/spreadsheets/d/11923uPwbBZFjjGgGUA6NLw09EwE0CqkOc4q9oUmW1yo/edit?usp=sharing"",""นครสวรรค์!M284"")"),10540)</f>
        <v>10540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IFERROR(__xludf.DUMMYFUNCTION("IMPORTRANGE(""https://docs.google.com/spreadsheets/d/11923uPwbBZFjjGgGUA6NLw09EwE0CqkOc4q9oUmW1yo/edit?usp=sharing"",""นครสวรรค์!J286"")"),0)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IFERROR(__xludf.DUMMYFUNCTION("IMPORTRANGE(""https://docs.google.com/spreadsheets/d/11923uPwbBZFjjGgGUA6NLw09EwE0CqkOc4q9oUmW1yo/edit?usp=sharing"",""นครสวรรค์!J287"")"),1)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IFERROR(__xludf.DUMMYFUNCTION("IMPORTRANGE(""https://docs.google.com/spreadsheets/d/11923uPwbBZFjjGgGUA6NLw09EwE0CqkOc4q9oUmW1yo/edit?usp=sharing"",""นครสวรรค์!J288"")"),1)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IFERROR(__xludf.DUMMYFUNCTION("IMPORTRANGE(""https://docs.google.com/spreadsheets/d/11923uPwbBZFjjGgGUA6NLw09EwE0CqkOc4q9oUmW1yo/edit?usp=sharing"",""นครสวรรค์!J289"")"),1)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IFERROR(__xludf.DUMMYFUNCTION("IMPORTRANGE(""https://docs.google.com/spreadsheets/d/11923uPwbBZFjjGgGUA6NLw09EwE0CqkOc4q9oUmW1yo/edit?usp=sharing"",""นครสวรรค์!I291"")"),100)</f>
        <v>100</v>
      </c>
      <c r="J396" s="197">
        <f ca="1">IFERROR(__xludf.DUMMYFUNCTION("IMPORTRANGE(""https://docs.google.com/spreadsheets/d/11923uPwbBZFjjGgGUA6NLw09EwE0CqkOc4q9oUmW1yo/edit?usp=sharing"",""นครสวรรค์!J291"")"),100)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IFERROR(__xludf.DUMMYFUNCTION("IMPORTRANGE(""https://docs.google.com/spreadsheets/d/11923uPwbBZFjjGgGUA6NLw09EwE0CqkOc4q9oUmW1yo/edit?usp=sharing"",""นครสวรรค์!I292"")"),1000)</f>
        <v>1000</v>
      </c>
      <c r="J397" s="197">
        <f ca="1">IFERROR(__xludf.DUMMYFUNCTION("IMPORTRANGE(""https://docs.google.com/spreadsheets/d/11923uPwbBZFjjGgGUA6NLw09EwE0CqkOc4q9oUmW1yo/edit?usp=sharing"",""นครสวรรค์!J292"")"),0)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IFERROR(__xludf.DUMMYFUNCTION("IMPORTRANGE(""https://docs.google.com/spreadsheets/d/11923uPwbBZFjjGgGUA6NLw09EwE0CqkOc4q9oUmW1yo/edit?usp=sharing"",""นครสวรรค์!I293"")"),100)</f>
        <v>100</v>
      </c>
      <c r="J398" s="197">
        <f ca="1">IFERROR(__xludf.DUMMYFUNCTION("IMPORTRANGE(""https://docs.google.com/spreadsheets/d/11923uPwbBZFjjGgGUA6NLw09EwE0CqkOc4q9oUmW1yo/edit?usp=sharing"",""นครสวรรค์!J293"")"),0)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IFERROR(__xludf.DUMMYFUNCTION("IMPORTRANGE(""https://docs.google.com/spreadsheets/d/11923uPwbBZFjjGgGUA6NLw09EwE0CqkOc4q9oUmW1yo/edit?usp=sharing"",""นครสวรรค์!J294"")"),0)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IFERROR(__xludf.DUMMYFUNCTION("IMPORTRANGE(""https://docs.google.com/spreadsheets/d/11923uPwbBZFjjGgGUA6NLw09EwE0CqkOc4q9oUmW1yo/edit?usp=sharing"",""นครสวรรค์!J295"")"),0)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IFERROR(__xludf.DUMMYFUNCTION("IMPORTRANGE(""https://docs.google.com/spreadsheets/d/11923uPwbBZFjjGgGUA6NLw09EwE0CqkOc4q9oUmW1yo/edit?usp=sharing"",""นครสวรรค์!I296"")"),135)</f>
        <v>135</v>
      </c>
      <c r="J401" s="370">
        <f ca="1">IFERROR(__xludf.DUMMYFUNCTION("IMPORTRANGE(""https://docs.google.com/spreadsheets/d/11923uPwbBZFjjGgGUA6NLw09EwE0CqkOc4q9oUmW1yo/edit?usp=sharing"",""นครสวรรค์!J296"")"),141)</f>
        <v>141</v>
      </c>
      <c r="K401" s="371">
        <f t="shared" ref="K401:K402" ca="1" si="111">IF(I401&gt;0,J401*100/I401,0)</f>
        <v>104.44444444444444</v>
      </c>
      <c r="L401" s="372">
        <f ca="1">IFERROR(__xludf.DUMMYFUNCTION("IMPORTRANGE(""https://docs.google.com/spreadsheets/d/11923uPwbBZFjjGgGUA6NLw09EwE0CqkOc4q9oUmW1yo/edit?usp=sharing"",""นครสวรรค์!L296"")"),159950)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IFERROR(__xludf.DUMMYFUNCTION("IMPORTRANGE(""https://docs.google.com/spreadsheets/d/11923uPwbBZFjjGgGUA6NLw09EwE0CqkOc4q9oUmW1yo/edit?usp=sharing"",""นครสวรรค์!M296"")"),144970)</f>
        <v>144970</v>
      </c>
      <c r="O401" s="372">
        <f ca="1">+IF(L401&gt;0,N401*100/L401,0)</f>
        <v>90.634573304157556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IFERROR(__xludf.DUMMYFUNCTION("IMPORTRANGE(""https://docs.google.com/spreadsheets/d/11923uPwbBZFjjGgGUA6NLw09EwE0CqkOc4q9oUmW1yo/edit?usp=sharing"",""นครสวรรค์!I297"")"),45)</f>
        <v>45</v>
      </c>
      <c r="J402" s="370">
        <f ca="1">IFERROR(__xludf.DUMMYFUNCTION("IMPORTRANGE(""https://docs.google.com/spreadsheets/d/11923uPwbBZFjjGgGUA6NLw09EwE0CqkOc4q9oUmW1yo/edit?usp=sharing"",""นครสวรรค์!J297"")"),47)</f>
        <v>47</v>
      </c>
      <c r="K402" s="371">
        <f t="shared" ca="1" si="111"/>
        <v>104.44444444444444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IFERROR(__xludf.DUMMYFUNCTION("IMPORTRANGE(""https://docs.google.com/spreadsheets/d/11923uPwbBZFjjGgGUA6NLw09EwE0CqkOc4q9oUmW1yo/edit?usp=sharing"",""นครสวรรค์!L298"")"),0)</f>
        <v>0</v>
      </c>
      <c r="M403" s="164"/>
      <c r="N403" s="168">
        <f ca="1">IFERROR(__xludf.DUMMYFUNCTION("IMPORTRANGE(""https://docs.google.com/spreadsheets/d/11923uPwbBZFjjGgGUA6NLw09EwE0CqkOc4q9oUmW1yo/edit?usp=sharing"",""นครสวรรค์!M298"")"),0)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IFERROR(__xludf.DUMMYFUNCTION("IMPORTRANGE(""https://docs.google.com/spreadsheets/d/11923uPwbBZFjjGgGUA6NLw09EwE0CqkOc4q9oUmW1yo/edit?usp=sharing"",""นครสวรรค์!L299"")"),159950)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IFERROR(__xludf.DUMMYFUNCTION("IMPORTRANGE(""https://docs.google.com/spreadsheets/d/11923uPwbBZFjjGgGUA6NLw09EwE0CqkOc4q9oUmW1yo/edit?usp=sharing"",""นครสวรรค์!M299"")"),144970)</f>
        <v>144970</v>
      </c>
      <c r="O404" s="168">
        <f t="shared" ca="1" si="112"/>
        <v>90.634573304157556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IFERROR(__xludf.DUMMYFUNCTION("IMPORTRANGE(""https://docs.google.com/spreadsheets/d/11923uPwbBZFjjGgGUA6NLw09EwE0CqkOc4q9oUmW1yo/edit?usp=sharing"",""นครสวรรค์!L300"")"),0)</f>
        <v>0</v>
      </c>
      <c r="M405" s="168"/>
      <c r="N405" s="168">
        <f ca="1">IFERROR(__xludf.DUMMYFUNCTION("IMPORTRANGE(""https://docs.google.com/spreadsheets/d/11923uPwbBZFjjGgGUA6NLw09EwE0CqkOc4q9oUmW1yo/edit?usp=sharing"",""นครสวรรค์!M300"")"),0)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IFERROR(__xludf.DUMMYFUNCTION("IMPORTRANGE(""https://docs.google.com/spreadsheets/d/11923uPwbBZFjjGgGUA6NLw09EwE0CqkOc4q9oUmW1yo/edit?usp=sharing"",""นครสวรรค์!L301"")"),159950)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IFERROR(__xludf.DUMMYFUNCTION("IMPORTRANGE(""https://docs.google.com/spreadsheets/d/11923uPwbBZFjjGgGUA6NLw09EwE0CqkOc4q9oUmW1yo/edit?usp=sharing"",""นครสวรรค์!M301"")"),144970)</f>
        <v>144970</v>
      </c>
      <c r="O406" s="168">
        <f t="shared" ca="1" si="112"/>
        <v>90.634573304157556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IFERROR(__xludf.DUMMYFUNCTION("IMPORTRANGE(""https://docs.google.com/spreadsheets/d/11923uPwbBZFjjGgGUA6NLw09EwE0CqkOc4q9oUmW1yo/edit?usp=sharing"",""นครสวรรค์!M302"")"),97550)</f>
        <v>97550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IFERROR(__xludf.DUMMYFUNCTION("IMPORTRANGE(""https://docs.google.com/spreadsheets/d/11923uPwbBZFjjGgGUA6NLw09EwE0CqkOc4q9oUmW1yo/edit?usp=sharing"",""นครสวรรค์!M303"")"),32500)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IFERROR(__xludf.DUMMYFUNCTION("IMPORTRANGE(""https://docs.google.com/spreadsheets/d/11923uPwbBZFjjGgGUA6NLw09EwE0CqkOc4q9oUmW1yo/edit?usp=sharing"",""นครสวรรค์!M304"")"),0)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IFERROR(__xludf.DUMMYFUNCTION("IMPORTRANGE(""https://docs.google.com/spreadsheets/d/11923uPwbBZFjjGgGUA6NLw09EwE0CqkOc4q9oUmW1yo/edit?usp=sharing"",""นครสวรรค์!M305"")"),14920)</f>
        <v>14920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IFERROR(__xludf.DUMMYFUNCTION("IMPORTRANGE(""https://docs.google.com/spreadsheets/d/11923uPwbBZFjjGgGUA6NLw09EwE0CqkOc4q9oUmW1yo/edit?usp=sharing"",""นครสวรรค์!J307"")"),0)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IFERROR(__xludf.DUMMYFUNCTION("IMPORTRANGE(""https://docs.google.com/spreadsheets/d/11923uPwbBZFjjGgGUA6NLw09EwE0CqkOc4q9oUmW1yo/edit?usp=sharing"",""นครสวรรค์!J308"")"),1)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IFERROR(__xludf.DUMMYFUNCTION("IMPORTRANGE(""https://docs.google.com/spreadsheets/d/11923uPwbBZFjjGgGUA6NLw09EwE0CqkOc4q9oUmW1yo/edit?usp=sharing"",""นครสวรรค์!J309"")"),1)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IFERROR(__xludf.DUMMYFUNCTION("IMPORTRANGE(""https://docs.google.com/spreadsheets/d/11923uPwbBZFjjGgGUA6NLw09EwE0CqkOc4q9oUmW1yo/edit?usp=sharing"",""นครสวรรค์!J310"")"),0)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IFERROR(__xludf.DUMMYFUNCTION("IMPORTRANGE(""https://docs.google.com/spreadsheets/d/11923uPwbBZFjjGgGUA6NLw09EwE0CqkOc4q9oUmW1yo/edit?usp=sharing"",""นครสวรรค์!I311"")"),45)</f>
        <v>45</v>
      </c>
      <c r="J416" s="200">
        <f ca="1">IFERROR(__xludf.DUMMYFUNCTION("IMPORTRANGE(""https://docs.google.com/spreadsheets/d/11923uPwbBZFjjGgGUA6NLw09EwE0CqkOc4q9oUmW1yo/edit?usp=sharing"",""นครสวรรค์!J311"")"),47)</f>
        <v>47</v>
      </c>
      <c r="K416" s="201">
        <f t="shared" ref="K416:K432" ca="1" si="113">IF(I416&gt;0,J416*100/I416,0)</f>
        <v>104.44444444444444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IFERROR(__xludf.DUMMYFUNCTION("IMPORTRANGE(""https://docs.google.com/spreadsheets/d/11923uPwbBZFjjGgGUA6NLw09EwE0CqkOc4q9oUmW1yo/edit?usp=sharing"",""นครสวรรค์!I312"")"),10)</f>
        <v>10</v>
      </c>
      <c r="J417" s="391">
        <f ca="1">IFERROR(__xludf.DUMMYFUNCTION("IMPORTRANGE(""https://docs.google.com/spreadsheets/d/11923uPwbBZFjjGgGUA6NLw09EwE0CqkOc4q9oUmW1yo/edit?usp=sharing"",""นครสวรรค์!J312"")"),10)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IFERROR(__xludf.DUMMYFUNCTION("IMPORTRANGE(""https://docs.google.com/spreadsheets/d/11923uPwbBZFjjGgGUA6NLw09EwE0CqkOc4q9oUmW1yo/edit?usp=sharing"",""นครสวรรค์!I313"")"),30)</f>
        <v>30</v>
      </c>
      <c r="J418" s="392">
        <f ca="1">IFERROR(__xludf.DUMMYFUNCTION("IMPORTRANGE(""https://docs.google.com/spreadsheets/d/11923uPwbBZFjjGgGUA6NLw09EwE0CqkOc4q9oUmW1yo/edit?usp=sharing"",""นครสวรรค์!J313"")"),30)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IFERROR(__xludf.DUMMYFUNCTION("IMPORTRANGE(""https://docs.google.com/spreadsheets/d/11923uPwbBZFjjGgGUA6NLw09EwE0CqkOc4q9oUmW1yo/edit?usp=sharing"",""นครสวรรค์!I314"")"),10)</f>
        <v>10</v>
      </c>
      <c r="J419" s="393">
        <f ca="1">IFERROR(__xludf.DUMMYFUNCTION("IMPORTRANGE(""https://docs.google.com/spreadsheets/d/11923uPwbBZFjjGgGUA6NLw09EwE0CqkOc4q9oUmW1yo/edit?usp=sharing"",""นครสวรรค์!J314"")"),10)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IFERROR(__xludf.DUMMYFUNCTION("IMPORTRANGE(""https://docs.google.com/spreadsheets/d/11923uPwbBZFjjGgGUA6NLw09EwE0CqkOc4q9oUmW1yo/edit?usp=sharing"",""นครสวรรค์!I315"")"),10)</f>
        <v>10</v>
      </c>
      <c r="J420" s="393">
        <f ca="1">IFERROR(__xludf.DUMMYFUNCTION("IMPORTRANGE(""https://docs.google.com/spreadsheets/d/11923uPwbBZFjjGgGUA6NLw09EwE0CqkOc4q9oUmW1yo/edit?usp=sharing"",""นครสวรรค์!J315"")"),10)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IFERROR(__xludf.DUMMYFUNCTION("IMPORTRANGE(""https://docs.google.com/spreadsheets/d/11923uPwbBZFjjGgGUA6NLw09EwE0CqkOc4q9oUmW1yo/edit?usp=sharing"",""นครสวรรค์!I316"")"),25)</f>
        <v>25</v>
      </c>
      <c r="J421" s="391">
        <f ca="1">IFERROR(__xludf.DUMMYFUNCTION("IMPORTRANGE(""https://docs.google.com/spreadsheets/d/11923uPwbBZFjjGgGUA6NLw09EwE0CqkOc4q9oUmW1yo/edit?usp=sharing"",""นครสวรรค์!J316"")"),25)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IFERROR(__xludf.DUMMYFUNCTION("IMPORTRANGE(""https://docs.google.com/spreadsheets/d/11923uPwbBZFjjGgGUA6NLw09EwE0CqkOc4q9oUmW1yo/edit?usp=sharing"",""นครสวรรค์!I317"")"),75)</f>
        <v>75</v>
      </c>
      <c r="J422" s="392">
        <f ca="1">IFERROR(__xludf.DUMMYFUNCTION("IMPORTRANGE(""https://docs.google.com/spreadsheets/d/11923uPwbBZFjjGgGUA6NLw09EwE0CqkOc4q9oUmW1yo/edit?usp=sharing"",""นครสวรรค์!J317"")"),75)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IFERROR(__xludf.DUMMYFUNCTION("IMPORTRANGE(""https://docs.google.com/spreadsheets/d/11923uPwbBZFjjGgGUA6NLw09EwE0CqkOc4q9oUmW1yo/edit?usp=sharing"",""นครสวรรค์!I318"")"),25)</f>
        <v>25</v>
      </c>
      <c r="J423" s="393">
        <f ca="1">IFERROR(__xludf.DUMMYFUNCTION("IMPORTRANGE(""https://docs.google.com/spreadsheets/d/11923uPwbBZFjjGgGUA6NLw09EwE0CqkOc4q9oUmW1yo/edit?usp=sharing"",""นครสวรรค์!J318"")"),25)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IFERROR(__xludf.DUMMYFUNCTION("IMPORTRANGE(""https://docs.google.com/spreadsheets/d/11923uPwbBZFjjGgGUA6NLw09EwE0CqkOc4q9oUmW1yo/edit?usp=sharing"",""นครสวรรค์!I319"")"),25)</f>
        <v>25</v>
      </c>
      <c r="J424" s="393">
        <f ca="1">IFERROR(__xludf.DUMMYFUNCTION("IMPORTRANGE(""https://docs.google.com/spreadsheets/d/11923uPwbBZFjjGgGUA6NLw09EwE0CqkOc4q9oUmW1yo/edit?usp=sharing"",""นครสวรรค์!J319"")"),25)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IFERROR(__xludf.DUMMYFUNCTION("IMPORTRANGE(""https://docs.google.com/spreadsheets/d/11923uPwbBZFjjGgGUA6NLw09EwE0CqkOc4q9oUmW1yo/edit?usp=sharing"",""นครสวรรค์!I320"")"),25)</f>
        <v>25</v>
      </c>
      <c r="J425" s="393">
        <f ca="1">IFERROR(__xludf.DUMMYFUNCTION("IMPORTRANGE(""https://docs.google.com/spreadsheets/d/11923uPwbBZFjjGgGUA6NLw09EwE0CqkOc4q9oUmW1yo/edit?usp=sharing"",""นครสวรรค์!J320"")"),25)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IFERROR(__xludf.DUMMYFUNCTION("IMPORTRANGE(""https://docs.google.com/spreadsheets/d/11923uPwbBZFjjGgGUA6NLw09EwE0CqkOc4q9oUmW1yo/edit?usp=sharing"",""นครสวรรค์!I321"")"),10)</f>
        <v>10</v>
      </c>
      <c r="J426" s="391">
        <f ca="1">IFERROR(__xludf.DUMMYFUNCTION("IMPORTRANGE(""https://docs.google.com/spreadsheets/d/11923uPwbBZFjjGgGUA6NLw09EwE0CqkOc4q9oUmW1yo/edit?usp=sharing"",""นครสวรรค์!J321"")"),12)</f>
        <v>12</v>
      </c>
      <c r="K426" s="201">
        <f t="shared" ca="1" si="113"/>
        <v>120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IFERROR(__xludf.DUMMYFUNCTION("IMPORTRANGE(""https://docs.google.com/spreadsheets/d/11923uPwbBZFjjGgGUA6NLw09EwE0CqkOc4q9oUmW1yo/edit?usp=sharing"",""นครสวรรค์!I322"")"),30)</f>
        <v>30</v>
      </c>
      <c r="J427" s="392">
        <f ca="1">IFERROR(__xludf.DUMMYFUNCTION("IMPORTRANGE(""https://docs.google.com/spreadsheets/d/11923uPwbBZFjjGgGUA6NLw09EwE0CqkOc4q9oUmW1yo/edit?usp=sharing"",""นครสวรรค์!J322"")"),36)</f>
        <v>36</v>
      </c>
      <c r="K427" s="201">
        <f t="shared" ca="1" si="113"/>
        <v>120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IFERROR(__xludf.DUMMYFUNCTION("IMPORTRANGE(""https://docs.google.com/spreadsheets/d/11923uPwbBZFjjGgGUA6NLw09EwE0CqkOc4q9oUmW1yo/edit?usp=sharing"",""นครสวรรค์!I323"")"),10)</f>
        <v>10</v>
      </c>
      <c r="J428" s="393">
        <f ca="1">IFERROR(__xludf.DUMMYFUNCTION("IMPORTRANGE(""https://docs.google.com/spreadsheets/d/11923uPwbBZFjjGgGUA6NLw09EwE0CqkOc4q9oUmW1yo/edit?usp=sharing"",""นครสวรรค์!J323"")"),12)</f>
        <v>12</v>
      </c>
      <c r="K428" s="163">
        <f t="shared" ca="1" si="113"/>
        <v>120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IFERROR(__xludf.DUMMYFUNCTION("IMPORTRANGE(""https://docs.google.com/spreadsheets/d/11923uPwbBZFjjGgGUA6NLw09EwE0CqkOc4q9oUmW1yo/edit?usp=sharing"",""นครสวรรค์!I324"")"),10)</f>
        <v>10</v>
      </c>
      <c r="J429" s="393">
        <f ca="1">IFERROR(__xludf.DUMMYFUNCTION("IMPORTRANGE(""https://docs.google.com/spreadsheets/d/11923uPwbBZFjjGgGUA6NLw09EwE0CqkOc4q9oUmW1yo/edit?usp=sharing"",""นครสวรรค์!J324"")"),12)</f>
        <v>12</v>
      </c>
      <c r="K429" s="163">
        <f t="shared" ca="1" si="113"/>
        <v>120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IFERROR(__xludf.DUMMYFUNCTION("IMPORTRANGE(""https://docs.google.com/spreadsheets/d/11923uPwbBZFjjGgGUA6NLw09EwE0CqkOc4q9oUmW1yo/edit?usp=sharing"",""นครสวรรค์!I325"")"),35)</f>
        <v>35</v>
      </c>
      <c r="J430" s="391">
        <f ca="1">IFERROR(__xludf.DUMMYFUNCTION("IMPORTRANGE(""https://docs.google.com/spreadsheets/d/11923uPwbBZFjjGgGUA6NLw09EwE0CqkOc4q9oUmW1yo/edit?usp=sharing"",""นครสวรรค์!J325"")"),35)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IFERROR(__xludf.DUMMYFUNCTION("IMPORTRANGE(""https://docs.google.com/spreadsheets/d/11923uPwbBZFjjGgGUA6NLw09EwE0CqkOc4q9oUmW1yo/edit?usp=sharing"",""นครสวรรค์!I326"")"),10)</f>
        <v>10</v>
      </c>
      <c r="J431" s="393">
        <f ca="1">IFERROR(__xludf.DUMMYFUNCTION("IMPORTRANGE(""https://docs.google.com/spreadsheets/d/11923uPwbBZFjjGgGUA6NLw09EwE0CqkOc4q9oUmW1yo/edit?usp=sharing"",""นครสวรรค์!J326"")"),10)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IFERROR(__xludf.DUMMYFUNCTION("IMPORTRANGE(""https://docs.google.com/spreadsheets/d/11923uPwbBZFjjGgGUA6NLw09EwE0CqkOc4q9oUmW1yo/edit?usp=sharing"",""นครสวรรค์!I327"")"),25)</f>
        <v>25</v>
      </c>
      <c r="J432" s="393">
        <f ca="1">IFERROR(__xludf.DUMMYFUNCTION("IMPORTRANGE(""https://docs.google.com/spreadsheets/d/11923uPwbBZFjjGgGUA6NLw09EwE0CqkOc4q9oUmW1yo/edit?usp=sharing"",""นครสวรรค์!J327"")"),25)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IFERROR(__xludf.DUMMYFUNCTION("IMPORTRANGE(""https://docs.google.com/spreadsheets/d/11923uPwbBZFjjGgGUA6NLw09EwE0CqkOc4q9oUmW1yo/edit?usp=sharing"",""นครสวรรค์!J328"")"),0)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IFERROR(__xludf.DUMMYFUNCTION("IMPORTRANGE(""https://docs.google.com/spreadsheets/d/11923uPwbBZFjjGgGUA6NLw09EwE0CqkOc4q9oUmW1yo/edit?usp=sharing"",""นครสวรรค์!J329"")"),0)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IFERROR(__xludf.DUMMYFUNCTION("IMPORTRANGE(""https://docs.google.com/spreadsheets/d/11923uPwbBZFjjGgGUA6NLw09EwE0CqkOc4q9oUmW1yo/edit?usp=sharing"",""นครสวรรค์!I330"")"),15)</f>
        <v>15</v>
      </c>
      <c r="J435" s="409">
        <f ca="1">IFERROR(__xludf.DUMMYFUNCTION("IMPORTRANGE(""https://docs.google.com/spreadsheets/d/11923uPwbBZFjjGgGUA6NLw09EwE0CqkOc4q9oUmW1yo/edit?usp=sharing"",""นครสวรรค์!J330"")"),15)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IFERROR(__xludf.DUMMYFUNCTION("IMPORTRANGE(""https://docs.google.com/spreadsheets/d/11923uPwbBZFjjGgGUA6NLw09EwE0CqkOc4q9oUmW1yo/edit?usp=sharing"",""นครสวรรค์!L330"")"),106000)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IFERROR(__xludf.DUMMYFUNCTION("IMPORTRANGE(""https://docs.google.com/spreadsheets/d/11923uPwbBZFjjGgGUA6NLw09EwE0CqkOc4q9oUmW1yo/edit?usp=sharing"",""นครสวรรค์!M330"")"),70592)</f>
        <v>70592</v>
      </c>
      <c r="O435" s="411">
        <f t="shared" ref="O435:O439" ca="1" si="114">+IF(L435&gt;0,N435*100/L435,0)</f>
        <v>66.596226415094335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IFERROR(__xludf.DUMMYFUNCTION("IMPORTRANGE(""https://docs.google.com/spreadsheets/d/11923uPwbBZFjjGgGUA6NLw09EwE0CqkOc4q9oUmW1yo/edit?usp=sharing"",""นครสวรรค์!L331"")"),0)</f>
        <v>0</v>
      </c>
      <c r="M436" s="164"/>
      <c r="N436" s="168">
        <f ca="1">IFERROR(__xludf.DUMMYFUNCTION("IMPORTRANGE(""https://docs.google.com/spreadsheets/d/11923uPwbBZFjjGgGUA6NLw09EwE0CqkOc4q9oUmW1yo/edit?usp=sharing"",""นครสวรรค์!M331"")"),0)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IFERROR(__xludf.DUMMYFUNCTION("IMPORTRANGE(""https://docs.google.com/spreadsheets/d/11923uPwbBZFjjGgGUA6NLw09EwE0CqkOc4q9oUmW1yo/edit?usp=sharing"",""นครสวรรค์!L332"")"),106000)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IFERROR(__xludf.DUMMYFUNCTION("IMPORTRANGE(""https://docs.google.com/spreadsheets/d/11923uPwbBZFjjGgGUA6NLw09EwE0CqkOc4q9oUmW1yo/edit?usp=sharing"",""นครสวรรค์!M332"")"),70592)</f>
        <v>70592</v>
      </c>
      <c r="O437" s="168">
        <f t="shared" ca="1" si="114"/>
        <v>66.596226415094335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IFERROR(__xludf.DUMMYFUNCTION("IMPORTRANGE(""https://docs.google.com/spreadsheets/d/11923uPwbBZFjjGgGUA6NLw09EwE0CqkOc4q9oUmW1yo/edit?usp=sharing"",""นครสวรรค์!L333"")"),0)</f>
        <v>0</v>
      </c>
      <c r="M438" s="168"/>
      <c r="N438" s="168">
        <f ca="1">IFERROR(__xludf.DUMMYFUNCTION("IMPORTRANGE(""https://docs.google.com/spreadsheets/d/11923uPwbBZFjjGgGUA6NLw09EwE0CqkOc4q9oUmW1yo/edit?usp=sharing"",""นครสวรรค์!M333"")"),0)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IFERROR(__xludf.DUMMYFUNCTION("IMPORTRANGE(""https://docs.google.com/spreadsheets/d/11923uPwbBZFjjGgGUA6NLw09EwE0CqkOc4q9oUmW1yo/edit?usp=sharing"",""นครสวรรค์!L334"")"),106000)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IFERROR(__xludf.DUMMYFUNCTION("IMPORTRANGE(""https://docs.google.com/spreadsheets/d/11923uPwbBZFjjGgGUA6NLw09EwE0CqkOc4q9oUmW1yo/edit?usp=sharing"",""นครสวรรค์!M334"")"),70592)</f>
        <v>70592</v>
      </c>
      <c r="O439" s="168">
        <f t="shared" ca="1" si="114"/>
        <v>66.596226415094335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IFERROR(__xludf.DUMMYFUNCTION("IMPORTRANGE(""https://docs.google.com/spreadsheets/d/11923uPwbBZFjjGgGUA6NLw09EwE0CqkOc4q9oUmW1yo/edit?usp=sharing"",""นครสวรรค์!M335"")"),27122)</f>
        <v>27122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IFERROR(__xludf.DUMMYFUNCTION("IMPORTRANGE(""https://docs.google.com/spreadsheets/d/11923uPwbBZFjjGgGUA6NLw09EwE0CqkOc4q9oUmW1yo/edit?usp=sharing"",""นครสวรรค์!M336"")"),0)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IFERROR(__xludf.DUMMYFUNCTION("IMPORTRANGE(""https://docs.google.com/spreadsheets/d/11923uPwbBZFjjGgGUA6NLw09EwE0CqkOc4q9oUmW1yo/edit?usp=sharing"",""นครสวรรค์!M337"")"),0)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IFERROR(__xludf.DUMMYFUNCTION("IMPORTRANGE(""https://docs.google.com/spreadsheets/d/11923uPwbBZFjjGgGUA6NLw09EwE0CqkOc4q9oUmW1yo/edit?usp=sharing"",""นครสวรรค์!M338"")"),43470)</f>
        <v>43470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IFERROR(__xludf.DUMMYFUNCTION("IMPORTRANGE(""https://docs.google.com/spreadsheets/d/11923uPwbBZFjjGgGUA6NLw09EwE0CqkOc4q9oUmW1yo/edit?usp=sharing"",""นครสวรรค์!J340"")"),0)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IFERROR(__xludf.DUMMYFUNCTION("IMPORTRANGE(""https://docs.google.com/spreadsheets/d/11923uPwbBZFjjGgGUA6NLw09EwE0CqkOc4q9oUmW1yo/edit?usp=sharing"",""นครสวรรค์!J341"")"),1)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IFERROR(__xludf.DUMMYFUNCTION("IMPORTRANGE(""https://docs.google.com/spreadsheets/d/11923uPwbBZFjjGgGUA6NLw09EwE0CqkOc4q9oUmW1yo/edit?usp=sharing"",""นครสวรรค์!J342"")"),1)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IFERROR(__xludf.DUMMYFUNCTION("IMPORTRANGE(""https://docs.google.com/spreadsheets/d/11923uPwbBZFjjGgGUA6NLw09EwE0CqkOc4q9oUmW1yo/edit?usp=sharing"",""นครสวรรค์!J343"")"),1)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IFERROR(__xludf.DUMMYFUNCTION("IMPORTRANGE(""https://docs.google.com/spreadsheets/d/11923uPwbBZFjjGgGUA6NLw09EwE0CqkOc4q9oUmW1yo/edit?usp=sharing"",""นครสวรรค์!I344"")"),15)</f>
        <v>15</v>
      </c>
      <c r="J449" s="200">
        <f ca="1">IFERROR(__xludf.DUMMYFUNCTION("IMPORTRANGE(""https://docs.google.com/spreadsheets/d/11923uPwbBZFjjGgGUA6NLw09EwE0CqkOc4q9oUmW1yo/edit?usp=sharing"",""นครสวรรค์!J344"")"),15)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IFERROR(__xludf.DUMMYFUNCTION("IMPORTRANGE(""https://docs.google.com/spreadsheets/d/11923uPwbBZFjjGgGUA6NLw09EwE0CqkOc4q9oUmW1yo/edit?usp=sharing"",""นครสวรรค์!I345"")"),15)</f>
        <v>15</v>
      </c>
      <c r="J450" s="188">
        <f ca="1">IFERROR(__xludf.DUMMYFUNCTION("IMPORTRANGE(""https://docs.google.com/spreadsheets/d/11923uPwbBZFjjGgGUA6NLw09EwE0CqkOc4q9oUmW1yo/edit?usp=sharing"",""นครสวรรค์!J345"")"),15)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IFERROR(__xludf.DUMMYFUNCTION("IMPORTRANGE(""https://docs.google.com/spreadsheets/d/11923uPwbBZFjjGgGUA6NLw09EwE0CqkOc4q9oUmW1yo/edit?usp=sharing"",""นครสวรรค์!I346"")"),0)</f>
        <v>0</v>
      </c>
      <c r="J451" s="187">
        <f ca="1">IFERROR(__xludf.DUMMYFUNCTION("IMPORTRANGE(""https://docs.google.com/spreadsheets/d/11923uPwbBZFjjGgGUA6NLw09EwE0CqkOc4q9oUmW1yo/edit?usp=sharing"",""นครสวรรค์!J346"")"),0)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IFERROR(__xludf.DUMMYFUNCTION("IMPORTRANGE(""https://docs.google.com/spreadsheets/d/11923uPwbBZFjjGgGUA6NLw09EwE0CqkOc4q9oUmW1yo/edit?usp=sharing"",""นครสวรรค์!I347"")"),0)</f>
        <v>0</v>
      </c>
      <c r="J452" s="187">
        <f ca="1">IFERROR(__xludf.DUMMYFUNCTION("IMPORTRANGE(""https://docs.google.com/spreadsheets/d/11923uPwbBZFjjGgGUA6NLw09EwE0CqkOc4q9oUmW1yo/edit?usp=sharing"",""นครสวรรค์!J347"")"),0)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IFERROR(__xludf.DUMMYFUNCTION("IMPORTRANGE(""https://docs.google.com/spreadsheets/d/11923uPwbBZFjjGgGUA6NLw09EwE0CqkOc4q9oUmW1yo/edit?usp=sharing"",""นครสวรรค์!J348"")"),0)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IFERROR(__xludf.DUMMYFUNCTION("IMPORTRANGE(""https://docs.google.com/spreadsheets/d/11923uPwbBZFjjGgGUA6NLw09EwE0CqkOc4q9oUmW1yo/edit?usp=sharing"",""นครสวรรค์!J349"")"),0)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IFERROR(__xludf.DUMMYFUNCTION("IMPORTRANGE(""https://docs.google.com/spreadsheets/d/11923uPwbBZFjjGgGUA6NLw09EwE0CqkOc4q9oUmW1yo/edit?usp=sharing"",""นครสวรรค์!I350"")"),45976)</f>
        <v>45976</v>
      </c>
      <c r="J455" s="370">
        <f ca="1">IFERROR(__xludf.DUMMYFUNCTION("IMPORTRANGE(""https://docs.google.com/spreadsheets/d/11923uPwbBZFjjGgGUA6NLw09EwE0CqkOc4q9oUmW1yo/edit?usp=sharing"",""นครสวรรค์!J350"")"),45977)</f>
        <v>45977</v>
      </c>
      <c r="K455" s="371">
        <f ca="1">IF(I455&gt;0,J455*100/I455,0)</f>
        <v>100.00217504785105</v>
      </c>
      <c r="L455" s="372">
        <f ca="1">IFERROR(__xludf.DUMMYFUNCTION("IMPORTRANGE(""https://docs.google.com/spreadsheets/d/11923uPwbBZFjjGgGUA6NLw09EwE0CqkOc4q9oUmW1yo/edit?usp=sharing"",""นครสวรรค์!L350"")"),473763)</f>
        <v>473763</v>
      </c>
      <c r="M455" s="372"/>
      <c r="N455" s="372">
        <f ca="1">IFERROR(__xludf.DUMMYFUNCTION("IMPORTRANGE(""https://docs.google.com/spreadsheets/d/11923uPwbBZFjjGgGUA6NLw09EwE0CqkOc4q9oUmW1yo/edit?usp=sharing"",""นครสวรรค์!M350"")"),231621.83)</f>
        <v>231621.83</v>
      </c>
      <c r="O455" s="372">
        <f t="shared" ref="O455:O459" ca="1" si="116">+IF(L455&gt;0,N455*100/L455,0)</f>
        <v>48.889809883844876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IFERROR(__xludf.DUMMYFUNCTION("IMPORTRANGE(""https://docs.google.com/spreadsheets/d/11923uPwbBZFjjGgGUA6NLw09EwE0CqkOc4q9oUmW1yo/edit?usp=sharing"",""นครสวรรค์!L351"")"),0)</f>
        <v>0</v>
      </c>
      <c r="M456" s="164"/>
      <c r="N456" s="168">
        <f ca="1">IFERROR(__xludf.DUMMYFUNCTION("IMPORTRANGE(""https://docs.google.com/spreadsheets/d/11923uPwbBZFjjGgGUA6NLw09EwE0CqkOc4q9oUmW1yo/edit?usp=sharing"",""นครสวรรค์!M351"")"),0)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IFERROR(__xludf.DUMMYFUNCTION("IMPORTRANGE(""https://docs.google.com/spreadsheets/d/11923uPwbBZFjjGgGUA6NLw09EwE0CqkOc4q9oUmW1yo/edit?usp=sharing"",""นครสวรรค์!L352"")"),473763)</f>
        <v>473763</v>
      </c>
      <c r="M457" s="165"/>
      <c r="N457" s="168">
        <f ca="1">IFERROR(__xludf.DUMMYFUNCTION("IMPORTRANGE(""https://docs.google.com/spreadsheets/d/11923uPwbBZFjjGgGUA6NLw09EwE0CqkOc4q9oUmW1yo/edit?usp=sharing"",""นครสวรรค์!M352"")"),231621.83)</f>
        <v>231621.83</v>
      </c>
      <c r="O457" s="168">
        <f t="shared" ca="1" si="116"/>
        <v>48.889809883844876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IFERROR(__xludf.DUMMYFUNCTION("IMPORTRANGE(""https://docs.google.com/spreadsheets/d/11923uPwbBZFjjGgGUA6NLw09EwE0CqkOc4q9oUmW1yo/edit?usp=sharing"",""นครสวรรค์!L353"")"),0)</f>
        <v>0</v>
      </c>
      <c r="M458" s="168"/>
      <c r="N458" s="168">
        <f ca="1">IFERROR(__xludf.DUMMYFUNCTION("IMPORTRANGE(""https://docs.google.com/spreadsheets/d/11923uPwbBZFjjGgGUA6NLw09EwE0CqkOc4q9oUmW1yo/edit?usp=sharing"",""นครสวรรค์!M353"")"),0)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IFERROR(__xludf.DUMMYFUNCTION("IMPORTRANGE(""https://docs.google.com/spreadsheets/d/11923uPwbBZFjjGgGUA6NLw09EwE0CqkOc4q9oUmW1yo/edit?usp=sharing"",""นครสวรรค์!L354"")"),473763)</f>
        <v>473763</v>
      </c>
      <c r="M459" s="168"/>
      <c r="N459" s="168">
        <f ca="1">IFERROR(__xludf.DUMMYFUNCTION("IMPORTRANGE(""https://docs.google.com/spreadsheets/d/11923uPwbBZFjjGgGUA6NLw09EwE0CqkOc4q9oUmW1yo/edit?usp=sharing"",""นครสวรรค์!M354"")"),231621.83)</f>
        <v>231621.83</v>
      </c>
      <c r="O459" s="168">
        <f t="shared" ca="1" si="116"/>
        <v>48.889809883844876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IFERROR(__xludf.DUMMYFUNCTION("IMPORTRANGE(""https://docs.google.com/spreadsheets/d/11923uPwbBZFjjGgGUA6NLw09EwE0CqkOc4q9oUmW1yo/edit?usp=sharing"",""นครสวรรค์!M355"")"),0)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IFERROR(__xludf.DUMMYFUNCTION("IMPORTRANGE(""https://docs.google.com/spreadsheets/d/11923uPwbBZFjjGgGUA6NLw09EwE0CqkOc4q9oUmW1yo/edit?usp=sharing"",""นครสวรรค์!M356"")"),0)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IFERROR(__xludf.DUMMYFUNCTION("IMPORTRANGE(""https://docs.google.com/spreadsheets/d/11923uPwbBZFjjGgGUA6NLw09EwE0CqkOc4q9oUmW1yo/edit?usp=sharing"",""นครสวรรค์!M357"")"),0)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IFERROR(__xludf.DUMMYFUNCTION("IMPORTRANGE(""https://docs.google.com/spreadsheets/d/11923uPwbBZFjjGgGUA6NLw09EwE0CqkOc4q9oUmW1yo/edit?usp=sharing"",""นครสวรรค์!M358"")"),231621.83)</f>
        <v>231621.83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IFERROR(__xludf.DUMMYFUNCTION("IMPORTRANGE(""https://docs.google.com/spreadsheets/d/11923uPwbBZFjjGgGUA6NLw09EwE0CqkOc4q9oUmW1yo/edit?usp=sharing"",""นครสวรรค์!I359"")"),45976)</f>
        <v>45976</v>
      </c>
      <c r="J464" s="267">
        <f ca="1">IFERROR(__xludf.DUMMYFUNCTION("IMPORTRANGE(""https://docs.google.com/spreadsheets/d/11923uPwbBZFjjGgGUA6NLw09EwE0CqkOc4q9oUmW1yo/edit?usp=sharing"",""นครสวรรค์!J359"")"),45977)</f>
        <v>45977</v>
      </c>
      <c r="K464" s="268">
        <f t="shared" ref="K464:K515" ca="1" si="117">IF(I464&gt;0,J464*100/I464,0)</f>
        <v>100.00217504785105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IFERROR(__xludf.DUMMYFUNCTION("IMPORTRANGE(""https://docs.google.com/spreadsheets/d/11923uPwbBZFjjGgGUA6NLw09EwE0CqkOc4q9oUmW1yo/edit?usp=sharing"",""นครสวรรค์!I360"")"),45976)</f>
        <v>45976</v>
      </c>
      <c r="J465" s="420">
        <f ca="1">IFERROR(__xludf.DUMMYFUNCTION("IMPORTRANGE(""https://docs.google.com/spreadsheets/d/11923uPwbBZFjjGgGUA6NLw09EwE0CqkOc4q9oUmW1yo/edit?usp=sharing"",""นครสวรรค์!J360"")"),45977)</f>
        <v>45977</v>
      </c>
      <c r="K465" s="201">
        <f t="shared" ca="1" si="117"/>
        <v>100.00217504785105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IFERROR(__xludf.DUMMYFUNCTION("IMPORTRANGE(""https://docs.google.com/spreadsheets/d/11923uPwbBZFjjGgGUA6NLw09EwE0CqkOc4q9oUmW1yo/edit?usp=sharing"",""นครสวรรค์!I361"")"),3447)</f>
        <v>3447</v>
      </c>
      <c r="J466" s="420">
        <f ca="1">IFERROR(__xludf.DUMMYFUNCTION("IMPORTRANGE(""https://docs.google.com/spreadsheets/d/11923uPwbBZFjjGgGUA6NLw09EwE0CqkOc4q9oUmW1yo/edit?usp=sharing"",""นครสวรรค์!J361"")"),3447)</f>
        <v>3447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IFERROR(__xludf.DUMMYFUNCTION("IMPORTRANGE(""https://docs.google.com/spreadsheets/d/11923uPwbBZFjjGgGUA6NLw09EwE0CqkOc4q9oUmW1yo/edit?usp=sharing"",""นครสวรรค์!I362"")"),0)</f>
        <v>0</v>
      </c>
      <c r="J467" s="188">
        <f ca="1">IFERROR(__xludf.DUMMYFUNCTION("IMPORTRANGE(""https://docs.google.com/spreadsheets/d/11923uPwbBZFjjGgGUA6NLw09EwE0CqkOc4q9oUmW1yo/edit?usp=sharing"",""นครสวรรค์!J362"")"),33426)</f>
        <v>33426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IFERROR(__xludf.DUMMYFUNCTION("IMPORTRANGE(""https://docs.google.com/spreadsheets/d/11923uPwbBZFjjGgGUA6NLw09EwE0CqkOc4q9oUmW1yo/edit?usp=sharing"",""นครสวรรค์!I363"")"),0)</f>
        <v>0</v>
      </c>
      <c r="J468" s="188">
        <f ca="1">IFERROR(__xludf.DUMMYFUNCTION("IMPORTRANGE(""https://docs.google.com/spreadsheets/d/11923uPwbBZFjjGgGUA6NLw09EwE0CqkOc4q9oUmW1yo/edit?usp=sharing"",""นครสวรรค์!J363"")"),2614)</f>
        <v>2614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IFERROR(__xludf.DUMMYFUNCTION("IMPORTRANGE(""https://docs.google.com/spreadsheets/d/11923uPwbBZFjjGgGUA6NLw09EwE0CqkOc4q9oUmW1yo/edit?usp=sharing"",""นครสวรรค์!I364"")"),0)</f>
        <v>0</v>
      </c>
      <c r="J469" s="188">
        <f ca="1">IFERROR(__xludf.DUMMYFUNCTION("IMPORTRANGE(""https://docs.google.com/spreadsheets/d/11923uPwbBZFjjGgGUA6NLw09EwE0CqkOc4q9oUmW1yo/edit?usp=sharing"",""นครสวรรค์!J364"")"),11005)</f>
        <v>11005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IFERROR(__xludf.DUMMYFUNCTION("IMPORTRANGE(""https://docs.google.com/spreadsheets/d/11923uPwbBZFjjGgGUA6NLw09EwE0CqkOc4q9oUmW1yo/edit?usp=sharing"",""นครสวรรค์!I365"")"),0)</f>
        <v>0</v>
      </c>
      <c r="J470" s="188">
        <f ca="1">IFERROR(__xludf.DUMMYFUNCTION("IMPORTRANGE(""https://docs.google.com/spreadsheets/d/11923uPwbBZFjjGgGUA6NLw09EwE0CqkOc4q9oUmW1yo/edit?usp=sharing"",""นครสวรรค์!J365"")"),695)</f>
        <v>695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IFERROR(__xludf.DUMMYFUNCTION("IMPORTRANGE(""https://docs.google.com/spreadsheets/d/11923uPwbBZFjjGgGUA6NLw09EwE0CqkOc4q9oUmW1yo/edit?usp=sharing"",""นครสวรรค์!I366"")"),0)</f>
        <v>0</v>
      </c>
      <c r="J471" s="188">
        <f ca="1">IFERROR(__xludf.DUMMYFUNCTION("IMPORTRANGE(""https://docs.google.com/spreadsheets/d/11923uPwbBZFjjGgGUA6NLw09EwE0CqkOc4q9oUmW1yo/edit?usp=sharing"",""นครสวรรค์!J366"")"),1546)</f>
        <v>1546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IFERROR(__xludf.DUMMYFUNCTION("IMPORTRANGE(""https://docs.google.com/spreadsheets/d/11923uPwbBZFjjGgGUA6NLw09EwE0CqkOc4q9oUmW1yo/edit?usp=sharing"",""นครสวรรค์!I367"")"),0)</f>
        <v>0</v>
      </c>
      <c r="J472" s="188">
        <f ca="1">IFERROR(__xludf.DUMMYFUNCTION("IMPORTRANGE(""https://docs.google.com/spreadsheets/d/11923uPwbBZFjjGgGUA6NLw09EwE0CqkOc4q9oUmW1yo/edit?usp=sharing"",""นครสวรรค์!J367"")"),138)</f>
        <v>138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IFERROR(__xludf.DUMMYFUNCTION("IMPORTRANGE(""https://docs.google.com/spreadsheets/d/11923uPwbBZFjjGgGUA6NLw09EwE0CqkOc4q9oUmW1yo/edit?usp=sharing"",""นครสวรรค์!I368"")"),45976)</f>
        <v>45976</v>
      </c>
      <c r="J473" s="420">
        <f ca="1">IFERROR(__xludf.DUMMYFUNCTION("IMPORTRANGE(""https://docs.google.com/spreadsheets/d/11923uPwbBZFjjGgGUA6NLw09EwE0CqkOc4q9oUmW1yo/edit?usp=sharing"",""นครสวรรค์!J368"")"),45976.97)</f>
        <v>45976.97</v>
      </c>
      <c r="K473" s="201">
        <f t="shared" ca="1" si="117"/>
        <v>100.00210979641552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IFERROR(__xludf.DUMMYFUNCTION("IMPORTRANGE(""https://docs.google.com/spreadsheets/d/11923uPwbBZFjjGgGUA6NLw09EwE0CqkOc4q9oUmW1yo/edit?usp=sharing"",""นครสวรรค์!I369"")"),3447)</f>
        <v>3447</v>
      </c>
      <c r="J474" s="420">
        <f ca="1">IFERROR(__xludf.DUMMYFUNCTION("IMPORTRANGE(""https://docs.google.com/spreadsheets/d/11923uPwbBZFjjGgGUA6NLw09EwE0CqkOc4q9oUmW1yo/edit?usp=sharing"",""นครสวรรค์!J369"")"),3447)</f>
        <v>3447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IFERROR(__xludf.DUMMYFUNCTION("IMPORTRANGE(""https://docs.google.com/spreadsheets/d/11923uPwbBZFjjGgGUA6NLw09EwE0CqkOc4q9oUmW1yo/edit?usp=sharing"",""นครสวรรค์!I370"")"),0)</f>
        <v>0</v>
      </c>
      <c r="J475" s="188">
        <f ca="1">IFERROR(__xludf.DUMMYFUNCTION("IMPORTRANGE(""https://docs.google.com/spreadsheets/d/11923uPwbBZFjjGgGUA6NLw09EwE0CqkOc4q9oUmW1yo/edit?usp=sharing"",""นครสวรรค์!J370"")"),37277.22)</f>
        <v>37277.22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IFERROR(__xludf.DUMMYFUNCTION("IMPORTRANGE(""https://docs.google.com/spreadsheets/d/11923uPwbBZFjjGgGUA6NLw09EwE0CqkOc4q9oUmW1yo/edit?usp=sharing"",""นครสวรรค์!I371"")"),0)</f>
        <v>0</v>
      </c>
      <c r="J476" s="188">
        <f ca="1">IFERROR(__xludf.DUMMYFUNCTION("IMPORTRANGE(""https://docs.google.com/spreadsheets/d/11923uPwbBZFjjGgGUA6NLw09EwE0CqkOc4q9oUmW1yo/edit?usp=sharing"",""นครสวรรค์!J371"")"),2877)</f>
        <v>2877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IFERROR(__xludf.DUMMYFUNCTION("IMPORTRANGE(""https://docs.google.com/spreadsheets/d/11923uPwbBZFjjGgGUA6NLw09EwE0CqkOc4q9oUmW1yo/edit?usp=sharing"",""นครสวรรค์!I372"")"),0)</f>
        <v>0</v>
      </c>
      <c r="J477" s="188">
        <f ca="1">IFERROR(__xludf.DUMMYFUNCTION("IMPORTRANGE(""https://docs.google.com/spreadsheets/d/11923uPwbBZFjjGgGUA6NLw09EwE0CqkOc4q9oUmW1yo/edit?usp=sharing"",""นครสวรรค์!J372"")"),7556.46)</f>
        <v>7556.46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IFERROR(__xludf.DUMMYFUNCTION("IMPORTRANGE(""https://docs.google.com/spreadsheets/d/11923uPwbBZFjjGgGUA6NLw09EwE0CqkOc4q9oUmW1yo/edit?usp=sharing"",""นครสวรรค์!I373"")"),0)</f>
        <v>0</v>
      </c>
      <c r="J478" s="188">
        <f ca="1">IFERROR(__xludf.DUMMYFUNCTION("IMPORTRANGE(""https://docs.google.com/spreadsheets/d/11923uPwbBZFjjGgGUA6NLw09EwE0CqkOc4q9oUmW1yo/edit?usp=sharing"",""นครสวรรค์!J373"")"),463)</f>
        <v>463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IFERROR(__xludf.DUMMYFUNCTION("IMPORTRANGE(""https://docs.google.com/spreadsheets/d/11923uPwbBZFjjGgGUA6NLw09EwE0CqkOc4q9oUmW1yo/edit?usp=sharing"",""นครสวรรค์!I374"")"),0)</f>
        <v>0</v>
      </c>
      <c r="J479" s="188">
        <f ca="1">IFERROR(__xludf.DUMMYFUNCTION("IMPORTRANGE(""https://docs.google.com/spreadsheets/d/11923uPwbBZFjjGgGUA6NLw09EwE0CqkOc4q9oUmW1yo/edit?usp=sharing"",""นครสวรรค์!J374"")"),1143.29)</f>
        <v>1143.29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IFERROR(__xludf.DUMMYFUNCTION("IMPORTRANGE(""https://docs.google.com/spreadsheets/d/11923uPwbBZFjjGgGUA6NLw09EwE0CqkOc4q9oUmW1yo/edit?usp=sharing"",""นครสวรรค์!I375"")"),0)</f>
        <v>0</v>
      </c>
      <c r="J480" s="188">
        <f ca="1">IFERROR(__xludf.DUMMYFUNCTION("IMPORTRANGE(""https://docs.google.com/spreadsheets/d/11923uPwbBZFjjGgGUA6NLw09EwE0CqkOc4q9oUmW1yo/edit?usp=sharing"",""นครสวรรค์!J375"")"),107)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IFERROR(__xludf.DUMMYFUNCTION("IMPORTRANGE(""https://docs.google.com/spreadsheets/d/11923uPwbBZFjjGgGUA6NLw09EwE0CqkOc4q9oUmW1yo/edit?usp=sharing"",""นครสวรรค์!I376"")"),45976)</f>
        <v>45976</v>
      </c>
      <c r="J481" s="420">
        <f ca="1">IFERROR(__xludf.DUMMYFUNCTION("IMPORTRANGE(""https://docs.google.com/spreadsheets/d/11923uPwbBZFjjGgGUA6NLw09EwE0CqkOc4q9oUmW1yo/edit?usp=sharing"",""นครสวรรค์!J376"")"),45977)</f>
        <v>45977</v>
      </c>
      <c r="K481" s="201">
        <f t="shared" ca="1" si="117"/>
        <v>100.00217504785105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IFERROR(__xludf.DUMMYFUNCTION("IMPORTRANGE(""https://docs.google.com/spreadsheets/d/11923uPwbBZFjjGgGUA6NLw09EwE0CqkOc4q9oUmW1yo/edit?usp=sharing"",""นครสวรรค์!I377"")"),3447)</f>
        <v>3447</v>
      </c>
      <c r="J482" s="420">
        <f ca="1">IFERROR(__xludf.DUMMYFUNCTION("IMPORTRANGE(""https://docs.google.com/spreadsheets/d/11923uPwbBZFjjGgGUA6NLw09EwE0CqkOc4q9oUmW1yo/edit?usp=sharing"",""นครสวรรค์!J377"")"),3447)</f>
        <v>3447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IFERROR(__xludf.DUMMYFUNCTION("IMPORTRANGE(""https://docs.google.com/spreadsheets/d/11923uPwbBZFjjGgGUA6NLw09EwE0CqkOc4q9oUmW1yo/edit?usp=sharing"",""นครสวรรค์!I378"")"),0)</f>
        <v>0</v>
      </c>
      <c r="J483" s="188">
        <f ca="1">IFERROR(__xludf.DUMMYFUNCTION("IMPORTRANGE(""https://docs.google.com/spreadsheets/d/11923uPwbBZFjjGgGUA6NLw09EwE0CqkOc4q9oUmW1yo/edit?usp=sharing"",""นครสวรรค์!J378"")"),40326)</f>
        <v>40326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IFERROR(__xludf.DUMMYFUNCTION("IMPORTRANGE(""https://docs.google.com/spreadsheets/d/11923uPwbBZFjjGgGUA6NLw09EwE0CqkOc4q9oUmW1yo/edit?usp=sharing"",""นครสวรรค์!I379"")"),0)</f>
        <v>0</v>
      </c>
      <c r="J484" s="188">
        <f ca="1">IFERROR(__xludf.DUMMYFUNCTION("IMPORTRANGE(""https://docs.google.com/spreadsheets/d/11923uPwbBZFjjGgGUA6NLw09EwE0CqkOc4q9oUmW1yo/edit?usp=sharing"",""นครสวรรค์!J379"")"),3067)</f>
        <v>3067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IFERROR(__xludf.DUMMYFUNCTION("IMPORTRANGE(""https://docs.google.com/spreadsheets/d/11923uPwbBZFjjGgGUA6NLw09EwE0CqkOc4q9oUmW1yo/edit?usp=sharing"",""นครสวรรค์!I380"")"),0)</f>
        <v>0</v>
      </c>
      <c r="J485" s="188">
        <f ca="1">IFERROR(__xludf.DUMMYFUNCTION("IMPORTRANGE(""https://docs.google.com/spreadsheets/d/11923uPwbBZFjjGgGUA6NLw09EwE0CqkOc4q9oUmW1yo/edit?usp=sharing"",""นครสวรรค์!J380"")"),63)</f>
        <v>63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IFERROR(__xludf.DUMMYFUNCTION("IMPORTRANGE(""https://docs.google.com/spreadsheets/d/11923uPwbBZFjjGgGUA6NLw09EwE0CqkOc4q9oUmW1yo/edit?usp=sharing"",""นครสวรรค์!I381"")"),0)</f>
        <v>0</v>
      </c>
      <c r="J486" s="188">
        <f ca="1">IFERROR(__xludf.DUMMYFUNCTION("IMPORTRANGE(""https://docs.google.com/spreadsheets/d/11923uPwbBZFjjGgGUA6NLw09EwE0CqkOc4q9oUmW1yo/edit?usp=sharing"",""นครสวรรค์!J381"")"),14)</f>
        <v>14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IFERROR(__xludf.DUMMYFUNCTION("IMPORTRANGE(""https://docs.google.com/spreadsheets/d/11923uPwbBZFjjGgGUA6NLw09EwE0CqkOc4q9oUmW1yo/edit?usp=sharing"",""นครสวรรค์!I382"")"),0)</f>
        <v>0</v>
      </c>
      <c r="J487" s="420">
        <f ca="1">IFERROR(__xludf.DUMMYFUNCTION("IMPORTRANGE(""https://docs.google.com/spreadsheets/d/11923uPwbBZFjjGgGUA6NLw09EwE0CqkOc4q9oUmW1yo/edit?usp=sharing"",""นครสวรรค์!J382"")"),1252)</f>
        <v>1252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IFERROR(__xludf.DUMMYFUNCTION("IMPORTRANGE(""https://docs.google.com/spreadsheets/d/11923uPwbBZFjjGgGUA6NLw09EwE0CqkOc4q9oUmW1yo/edit?usp=sharing"",""นครสวรรค์!I383"")"),0)</f>
        <v>0</v>
      </c>
      <c r="J488" s="420">
        <f ca="1">IFERROR(__xludf.DUMMYFUNCTION("IMPORTRANGE(""https://docs.google.com/spreadsheets/d/11923uPwbBZFjjGgGUA6NLw09EwE0CqkOc4q9oUmW1yo/edit?usp=sharing"",""นครสวรรค์!J383"")"),111)</f>
        <v>111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IFERROR(__xludf.DUMMYFUNCTION("IMPORTRANGE(""https://docs.google.com/spreadsheets/d/11923uPwbBZFjjGgGUA6NLw09EwE0CqkOc4q9oUmW1yo/edit?usp=sharing"",""นครสวรรค์!I384"")"),0)</f>
        <v>0</v>
      </c>
      <c r="J489" s="188">
        <f ca="1">IFERROR(__xludf.DUMMYFUNCTION("IMPORTRANGE(""https://docs.google.com/spreadsheets/d/11923uPwbBZFjjGgGUA6NLw09EwE0CqkOc4q9oUmW1yo/edit?usp=sharing"",""นครสวรรค์!J384"")"),1252)</f>
        <v>1252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IFERROR(__xludf.DUMMYFUNCTION("IMPORTRANGE(""https://docs.google.com/spreadsheets/d/11923uPwbBZFjjGgGUA6NLw09EwE0CqkOc4q9oUmW1yo/edit?usp=sharing"",""นครสวรรค์!I385"")"),0)</f>
        <v>0</v>
      </c>
      <c r="J490" s="188">
        <f ca="1">IFERROR(__xludf.DUMMYFUNCTION("IMPORTRANGE(""https://docs.google.com/spreadsheets/d/11923uPwbBZFjjGgGUA6NLw09EwE0CqkOc4q9oUmW1yo/edit?usp=sharing"",""นครสวรรค์!J385"")"),111)</f>
        <v>111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IFERROR(__xludf.DUMMYFUNCTION("IMPORTRANGE(""https://docs.google.com/spreadsheets/d/11923uPwbBZFjjGgGUA6NLw09EwE0CqkOc4q9oUmW1yo/edit?usp=sharing"",""นครสวรรค์!I386"")"),0)</f>
        <v>0</v>
      </c>
      <c r="J491" s="188">
        <f ca="1">IFERROR(__xludf.DUMMYFUNCTION("IMPORTRANGE(""https://docs.google.com/spreadsheets/d/11923uPwbBZFjjGgGUA6NLw09EwE0CqkOc4q9oUmW1yo/edit?usp=sharing"",""นครสวรรค์!J386"")"),0)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IFERROR(__xludf.DUMMYFUNCTION("IMPORTRANGE(""https://docs.google.com/spreadsheets/d/11923uPwbBZFjjGgGUA6NLw09EwE0CqkOc4q9oUmW1yo/edit?usp=sharing"",""นครสวรรค์!I387"")"),0)</f>
        <v>0</v>
      </c>
      <c r="J492" s="188">
        <f ca="1">IFERROR(__xludf.DUMMYFUNCTION("IMPORTRANGE(""https://docs.google.com/spreadsheets/d/11923uPwbBZFjjGgGUA6NLw09EwE0CqkOc4q9oUmW1yo/edit?usp=sharing"",""นครสวรรค์!J387"")"),0)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IFERROR(__xludf.DUMMYFUNCTION("IMPORTRANGE(""https://docs.google.com/spreadsheets/d/11923uPwbBZFjjGgGUA6NLw09EwE0CqkOc4q9oUmW1yo/edit?usp=sharing"",""นครสวรรค์!I388"")"),0)</f>
        <v>0</v>
      </c>
      <c r="J493" s="188">
        <f ca="1">IFERROR(__xludf.DUMMYFUNCTION("IMPORTRANGE(""https://docs.google.com/spreadsheets/d/11923uPwbBZFjjGgGUA6NLw09EwE0CqkOc4q9oUmW1yo/edit?usp=sharing"",""นครสวรรค์!J388"")"),4336)</f>
        <v>4336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IFERROR(__xludf.DUMMYFUNCTION("IMPORTRANGE(""https://docs.google.com/spreadsheets/d/11923uPwbBZFjjGgGUA6NLw09EwE0CqkOc4q9oUmW1yo/edit?usp=sharing"",""นครสวรรค์!I389"")"),0)</f>
        <v>0</v>
      </c>
      <c r="J494" s="436">
        <f ca="1">IFERROR(__xludf.DUMMYFUNCTION("IMPORTRANGE(""https://docs.google.com/spreadsheets/d/11923uPwbBZFjjGgGUA6NLw09EwE0CqkOc4q9oUmW1yo/edit?usp=sharing"",""นครสวรรค์!J389"")"),255)</f>
        <v>255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IFERROR(__xludf.DUMMYFUNCTION("IMPORTRANGE(""https://docs.google.com/spreadsheets/d/11923uPwbBZFjjGgGUA6NLw09EwE0CqkOc4q9oUmW1yo/edit?usp=sharing"",""นครสวรรค์!I390"")"),0)</f>
        <v>0</v>
      </c>
      <c r="J495" s="436">
        <f ca="1">IFERROR(__xludf.DUMMYFUNCTION("IMPORTRANGE(""https://docs.google.com/spreadsheets/d/11923uPwbBZFjjGgGUA6NLw09EwE0CqkOc4q9oUmW1yo/edit?usp=sharing"",""นครสวรรค์!J390"")"),0)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IFERROR(__xludf.DUMMYFUNCTION("IMPORTRANGE(""https://docs.google.com/spreadsheets/d/11923uPwbBZFjjGgGUA6NLw09EwE0CqkOc4q9oUmW1yo/edit?usp=sharing"",""นครสวรรค์!I391"")"),0)</f>
        <v>0</v>
      </c>
      <c r="J496" s="436">
        <f ca="1">IFERROR(__xludf.DUMMYFUNCTION("IMPORTRANGE(""https://docs.google.com/spreadsheets/d/11923uPwbBZFjjGgGUA6NLw09EwE0CqkOc4q9oUmW1yo/edit?usp=sharing"",""นครสวรรค์!J391"")"),0)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IFERROR(__xludf.DUMMYFUNCTION("IMPORTRANGE(""https://docs.google.com/spreadsheets/d/11923uPwbBZFjjGgGUA6NLw09EwE0CqkOc4q9oUmW1yo/edit?usp=sharing"",""นครสวรรค์!I392"")"),14261)</f>
        <v>14261</v>
      </c>
      <c r="J497" s="443">
        <f ca="1">IFERROR(__xludf.DUMMYFUNCTION("IMPORTRANGE(""https://docs.google.com/spreadsheets/d/11923uPwbBZFjjGgGUA6NLw09EwE0CqkOc4q9oUmW1yo/edit?usp=sharing"",""นครสวรรค์!J392"")"),7615)</f>
        <v>7615</v>
      </c>
      <c r="K497" s="444">
        <f t="shared" ca="1" si="117"/>
        <v>53.397377463011011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IFERROR(__xludf.DUMMYFUNCTION("IMPORTRANGE(""https://docs.google.com/spreadsheets/d/11923uPwbBZFjjGgGUA6NLw09EwE0CqkOc4q9oUmW1yo/edit?usp=sharing"",""นครสวรรค์!I393"")"),14261)</f>
        <v>14261</v>
      </c>
      <c r="J498" s="420">
        <f ca="1">IFERROR(__xludf.DUMMYFUNCTION("IMPORTRANGE(""https://docs.google.com/spreadsheets/d/11923uPwbBZFjjGgGUA6NLw09EwE0CqkOc4q9oUmW1yo/edit?usp=sharing"",""นครสวรรค์!J393"")"),7615)</f>
        <v>7615</v>
      </c>
      <c r="K498" s="163">
        <f t="shared" ca="1" si="117"/>
        <v>53.397377463011011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IFERROR(__xludf.DUMMYFUNCTION("IMPORTRANGE(""https://docs.google.com/spreadsheets/d/11923uPwbBZFjjGgGUA6NLw09EwE0CqkOc4q9oUmW1yo/edit?usp=sharing"",""นครสวรรค์!I394"")"),770)</f>
        <v>770</v>
      </c>
      <c r="J499" s="420">
        <f ca="1">IFERROR(__xludf.DUMMYFUNCTION("IMPORTRANGE(""https://docs.google.com/spreadsheets/d/11923uPwbBZFjjGgGUA6NLw09EwE0CqkOc4q9oUmW1yo/edit?usp=sharing"",""นครสวรรค์!J394"")"),422)</f>
        <v>422</v>
      </c>
      <c r="K499" s="201">
        <f t="shared" ca="1" si="117"/>
        <v>54.805194805194802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IFERROR(__xludf.DUMMYFUNCTION("IMPORTRANGE(""https://docs.google.com/spreadsheets/d/11923uPwbBZFjjGgGUA6NLw09EwE0CqkOc4q9oUmW1yo/edit?usp=sharing"",""นครสวรรค์!I395"")"),0)</f>
        <v>0</v>
      </c>
      <c r="J500" s="162">
        <f ca="1">IFERROR(__xludf.DUMMYFUNCTION("IMPORTRANGE(""https://docs.google.com/spreadsheets/d/11923uPwbBZFjjGgGUA6NLw09EwE0CqkOc4q9oUmW1yo/edit?usp=sharing"",""นครสวรรค์!J395"")"),7521)</f>
        <v>7521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IFERROR(__xludf.DUMMYFUNCTION("IMPORTRANGE(""https://docs.google.com/spreadsheets/d/11923uPwbBZFjjGgGUA6NLw09EwE0CqkOc4q9oUmW1yo/edit?usp=sharing"",""นครสวรรค์!I396"")"),0)</f>
        <v>0</v>
      </c>
      <c r="J501" s="162">
        <f ca="1">IFERROR(__xludf.DUMMYFUNCTION("IMPORTRANGE(""https://docs.google.com/spreadsheets/d/11923uPwbBZFjjGgGUA6NLw09EwE0CqkOc4q9oUmW1yo/edit?usp=sharing"",""นครสวรรค์!J396"")"),415)</f>
        <v>415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IFERROR(__xludf.DUMMYFUNCTION("IMPORTRANGE(""https://docs.google.com/spreadsheets/d/11923uPwbBZFjjGgGUA6NLw09EwE0CqkOc4q9oUmW1yo/edit?usp=sharing"",""นครสวรรค์!I397"")"),0)</f>
        <v>0</v>
      </c>
      <c r="J502" s="188">
        <f ca="1">IFERROR(__xludf.DUMMYFUNCTION("IMPORTRANGE(""https://docs.google.com/spreadsheets/d/11923uPwbBZFjjGgGUA6NLw09EwE0CqkOc4q9oUmW1yo/edit?usp=sharing"",""นครสวรรค์!J397"")"),2388)</f>
        <v>2388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IFERROR(__xludf.DUMMYFUNCTION("IMPORTRANGE(""https://docs.google.com/spreadsheets/d/11923uPwbBZFjjGgGUA6NLw09EwE0CqkOc4q9oUmW1yo/edit?usp=sharing"",""นครสวรรค์!I398"")"),0)</f>
        <v>0</v>
      </c>
      <c r="J503" s="197">
        <f ca="1">IFERROR(__xludf.DUMMYFUNCTION("IMPORTRANGE(""https://docs.google.com/spreadsheets/d/11923uPwbBZFjjGgGUA6NLw09EwE0CqkOc4q9oUmW1yo/edit?usp=sharing"",""นครสวรรค์!J398"")"),128)</f>
        <v>128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IFERROR(__xludf.DUMMYFUNCTION("IMPORTRANGE(""https://docs.google.com/spreadsheets/d/11923uPwbBZFjjGgGUA6NLw09EwE0CqkOc4q9oUmW1yo/edit?usp=sharing"",""นครสวรรค์!I399"")"),0)</f>
        <v>0</v>
      </c>
      <c r="J504" s="188">
        <f ca="1">IFERROR(__xludf.DUMMYFUNCTION("IMPORTRANGE(""https://docs.google.com/spreadsheets/d/11923uPwbBZFjjGgGUA6NLw09EwE0CqkOc4q9oUmW1yo/edit?usp=sharing"",""นครสวรรค์!J399"")"),5133)</f>
        <v>5133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IFERROR(__xludf.DUMMYFUNCTION("IMPORTRANGE(""https://docs.google.com/spreadsheets/d/11923uPwbBZFjjGgGUA6NLw09EwE0CqkOc4q9oUmW1yo/edit?usp=sharing"",""นครสวรรค์!I400"")"),0)</f>
        <v>0</v>
      </c>
      <c r="J505" s="197">
        <f ca="1">IFERROR(__xludf.DUMMYFUNCTION("IMPORTRANGE(""https://docs.google.com/spreadsheets/d/11923uPwbBZFjjGgGUA6NLw09EwE0CqkOc4q9oUmW1yo/edit?usp=sharing"",""นครสวรรค์!J400"")"),287)</f>
        <v>287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IFERROR(__xludf.DUMMYFUNCTION("IMPORTRANGE(""https://docs.google.com/spreadsheets/d/11923uPwbBZFjjGgGUA6NLw09EwE0CqkOc4q9oUmW1yo/edit?usp=sharing"",""นครสวรรค์!I401"")"),0)</f>
        <v>0</v>
      </c>
      <c r="J506" s="188">
        <f ca="1">IFERROR(__xludf.DUMMYFUNCTION("IMPORTRANGE(""https://docs.google.com/spreadsheets/d/11923uPwbBZFjjGgGUA6NLw09EwE0CqkOc4q9oUmW1yo/edit?usp=sharing"",""นครสวรรค์!J401"")"),0)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IFERROR(__xludf.DUMMYFUNCTION("IMPORTRANGE(""https://docs.google.com/spreadsheets/d/11923uPwbBZFjjGgGUA6NLw09EwE0CqkOc4q9oUmW1yo/edit?usp=sharing"",""นครสวรรค์!I402"")"),0)</f>
        <v>0</v>
      </c>
      <c r="J507" s="197">
        <f ca="1">IFERROR(__xludf.DUMMYFUNCTION("IMPORTRANGE(""https://docs.google.com/spreadsheets/d/11923uPwbBZFjjGgGUA6NLw09EwE0CqkOc4q9oUmW1yo/edit?usp=sharing"",""นครสวรรค์!J402"")"),0)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IFERROR(__xludf.DUMMYFUNCTION("IMPORTRANGE(""https://docs.google.com/spreadsheets/d/11923uPwbBZFjjGgGUA6NLw09EwE0CqkOc4q9oUmW1yo/edit?usp=sharing"",""นครสวรรค์!I403"")"),0)</f>
        <v>0</v>
      </c>
      <c r="J508" s="162">
        <f ca="1">IFERROR(__xludf.DUMMYFUNCTION("IMPORTRANGE(""https://docs.google.com/spreadsheets/d/11923uPwbBZFjjGgGUA6NLw09EwE0CqkOc4q9oUmW1yo/edit?usp=sharing"",""นครสวรรค์!J403"")"),68)</f>
        <v>68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IFERROR(__xludf.DUMMYFUNCTION("IMPORTRANGE(""https://docs.google.com/spreadsheets/d/11923uPwbBZFjjGgGUA6NLw09EwE0CqkOc4q9oUmW1yo/edit?usp=sharing"",""นครสวรรค์!I404"")"),0)</f>
        <v>0</v>
      </c>
      <c r="J509" s="162">
        <f ca="1">IFERROR(__xludf.DUMMYFUNCTION("IMPORTRANGE(""https://docs.google.com/spreadsheets/d/11923uPwbBZFjjGgGUA6NLw09EwE0CqkOc4q9oUmW1yo/edit?usp=sharing"",""นครสวรรค์!J404"")"),3)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IFERROR(__xludf.DUMMYFUNCTION("IMPORTRANGE(""https://docs.google.com/spreadsheets/d/11923uPwbBZFjjGgGUA6NLw09EwE0CqkOc4q9oUmW1yo/edit?usp=sharing"",""นครสวรรค์!I405"")"),0)</f>
        <v>0</v>
      </c>
      <c r="J510" s="197">
        <f ca="1">IFERROR(__xludf.DUMMYFUNCTION("IMPORTRANGE(""https://docs.google.com/spreadsheets/d/11923uPwbBZFjjGgGUA6NLw09EwE0CqkOc4q9oUmW1yo/edit?usp=sharing"",""นครสวรรค์!J405"")"),20)</f>
        <v>20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IFERROR(__xludf.DUMMYFUNCTION("IMPORTRANGE(""https://docs.google.com/spreadsheets/d/11923uPwbBZFjjGgGUA6NLw09EwE0CqkOc4q9oUmW1yo/edit?usp=sharing"",""นครสวรรค์!I406"")"),0)</f>
        <v>0</v>
      </c>
      <c r="J511" s="197">
        <f ca="1">IFERROR(__xludf.DUMMYFUNCTION("IMPORTRANGE(""https://docs.google.com/spreadsheets/d/11923uPwbBZFjjGgGUA6NLw09EwE0CqkOc4q9oUmW1yo/edit?usp=sharing"",""นครสวรรค์!J406"")"),1)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IFERROR(__xludf.DUMMYFUNCTION("IMPORTRANGE(""https://docs.google.com/spreadsheets/d/11923uPwbBZFjjGgGUA6NLw09EwE0CqkOc4q9oUmW1yo/edit?usp=sharing"",""นครสวรรค์!I407"")"),0)</f>
        <v>0</v>
      </c>
      <c r="J512" s="197">
        <f ca="1">IFERROR(__xludf.DUMMYFUNCTION("IMPORTRANGE(""https://docs.google.com/spreadsheets/d/11923uPwbBZFjjGgGUA6NLw09EwE0CqkOc4q9oUmW1yo/edit?usp=sharing"",""นครสวรรค์!J407"")"),48)</f>
        <v>48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IFERROR(__xludf.DUMMYFUNCTION("IMPORTRANGE(""https://docs.google.com/spreadsheets/d/11923uPwbBZFjjGgGUA6NLw09EwE0CqkOc4q9oUmW1yo/edit?usp=sharing"",""นครสวรรค์!I408"")"),0)</f>
        <v>0</v>
      </c>
      <c r="J513" s="197">
        <f ca="1">IFERROR(__xludf.DUMMYFUNCTION("IMPORTRANGE(""https://docs.google.com/spreadsheets/d/11923uPwbBZFjjGgGUA6NLw09EwE0CqkOc4q9oUmW1yo/edit?usp=sharing"",""นครสวรรค์!J408"")"),2)</f>
        <v>2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IFERROR(__xludf.DUMMYFUNCTION("IMPORTRANGE(""https://docs.google.com/spreadsheets/d/11923uPwbBZFjjGgGUA6NLw09EwE0CqkOc4q9oUmW1yo/edit?usp=sharing"",""นครสวรรค์!I409"")"),0)</f>
        <v>0</v>
      </c>
      <c r="J514" s="197">
        <f ca="1">IFERROR(__xludf.DUMMYFUNCTION("IMPORTRANGE(""https://docs.google.com/spreadsheets/d/11923uPwbBZFjjGgGUA6NLw09EwE0CqkOc4q9oUmW1yo/edit?usp=sharing"",""นครสวรรค์!J409"")"),26)</f>
        <v>26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IFERROR(__xludf.DUMMYFUNCTION("IMPORTRANGE(""https://docs.google.com/spreadsheets/d/11923uPwbBZFjjGgGUA6NLw09EwE0CqkOc4q9oUmW1yo/edit?usp=sharing"",""นครสวรรค์!I410"")"),0)</f>
        <v>0</v>
      </c>
      <c r="J515" s="197">
        <f ca="1">IFERROR(__xludf.DUMMYFUNCTION("IMPORTRANGE(""https://docs.google.com/spreadsheets/d/11923uPwbBZFjjGgGUA6NLw09EwE0CqkOc4q9oUmW1yo/edit?usp=sharing"",""นครสวรรค์!J410"")"),4)</f>
        <v>4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IFERROR(__xludf.DUMMYFUNCTION("IMPORTRANGE(""https://docs.google.com/spreadsheets/d/11923uPwbBZFjjGgGUA6NLw09EwE0CqkOc4q9oUmW1yo/edit?usp=sharing"",""นครสวรรค์!I411"")"),0)</f>
        <v>0</v>
      </c>
      <c r="J516" s="267">
        <f ca="1">IFERROR(__xludf.DUMMYFUNCTION("IMPORTRANGE(""https://docs.google.com/spreadsheets/d/11923uPwbBZFjjGgGUA6NLw09EwE0CqkOc4q9oUmW1yo/edit?usp=sharing"",""นครสวรรค์!J411"")"),0)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IFERROR(__xludf.DUMMYFUNCTION("IMPORTRANGE(""https://docs.google.com/spreadsheets/d/11923uPwbBZFjjGgGUA6NLw09EwE0CqkOc4q9oUmW1yo/edit?usp=sharing"",""นครสวรรค์!I412"")"),0)</f>
        <v>0</v>
      </c>
      <c r="J517" s="284">
        <f ca="1">IFERROR(__xludf.DUMMYFUNCTION("IMPORTRANGE(""https://docs.google.com/spreadsheets/d/11923uPwbBZFjjGgGUA6NLw09EwE0CqkOc4q9oUmW1yo/edit?usp=sharing"",""นครสวรรค์!J412"")"),0)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IFERROR(__xludf.DUMMYFUNCTION("IMPORTRANGE(""https://docs.google.com/spreadsheets/d/11923uPwbBZFjjGgGUA6NLw09EwE0CqkOc4q9oUmW1yo/edit?usp=sharing"",""นครสวรรค์!I413"")"),0)</f>
        <v>0</v>
      </c>
      <c r="J518" s="284">
        <f ca="1">IFERROR(__xludf.DUMMYFUNCTION("IMPORTRANGE(""https://docs.google.com/spreadsheets/d/11923uPwbBZFjjGgGUA6NLw09EwE0CqkOc4q9oUmW1yo/edit?usp=sharing"",""นครสวรรค์!J413"")"),0)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IFERROR(__xludf.DUMMYFUNCTION("IMPORTRANGE(""https://docs.google.com/spreadsheets/d/11923uPwbBZFjjGgGUA6NLw09EwE0CqkOc4q9oUmW1yo/edit?usp=sharing"",""นครสวรรค์!I414"")"),0)</f>
        <v>0</v>
      </c>
      <c r="J519" s="187">
        <f ca="1">IFERROR(__xludf.DUMMYFUNCTION("IMPORTRANGE(""https://docs.google.com/spreadsheets/d/11923uPwbBZFjjGgGUA6NLw09EwE0CqkOc4q9oUmW1yo/edit?usp=sharing"",""นครสวรรค์!J414"")"),0)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IFERROR(__xludf.DUMMYFUNCTION("IMPORTRANGE(""https://docs.google.com/spreadsheets/d/11923uPwbBZFjjGgGUA6NLw09EwE0CqkOc4q9oUmW1yo/edit?usp=sharing"",""นครสวรรค์!I415"")"),0)</f>
        <v>0</v>
      </c>
      <c r="J520" s="187">
        <f ca="1">IFERROR(__xludf.DUMMYFUNCTION("IMPORTRANGE(""https://docs.google.com/spreadsheets/d/11923uPwbBZFjjGgGUA6NLw09EwE0CqkOc4q9oUmW1yo/edit?usp=sharing"",""นครสวรรค์!J415"")"),0)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IFERROR(__xludf.DUMMYFUNCTION("IMPORTRANGE(""https://docs.google.com/spreadsheets/d/11923uPwbBZFjjGgGUA6NLw09EwE0CqkOc4q9oUmW1yo/edit?usp=sharing"",""นครสวรรค์!I416"")"),0)</f>
        <v>0</v>
      </c>
      <c r="J521" s="187">
        <f ca="1">IFERROR(__xludf.DUMMYFUNCTION("IMPORTRANGE(""https://docs.google.com/spreadsheets/d/11923uPwbBZFjjGgGUA6NLw09EwE0CqkOc4q9oUmW1yo/edit?usp=sharing"",""นครสวรรค์!J416"")"),0)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IFERROR(__xludf.DUMMYFUNCTION("IMPORTRANGE(""https://docs.google.com/spreadsheets/d/11923uPwbBZFjjGgGUA6NLw09EwE0CqkOc4q9oUmW1yo/edit?usp=sharing"",""นครสวรรค์!I417"")"),0)</f>
        <v>0</v>
      </c>
      <c r="J522" s="187">
        <f ca="1">IFERROR(__xludf.DUMMYFUNCTION("IMPORTRANGE(""https://docs.google.com/spreadsheets/d/11923uPwbBZFjjGgGUA6NLw09EwE0CqkOc4q9oUmW1yo/edit?usp=sharing"",""นครสวรรค์!J417"")"),0)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IFERROR(__xludf.DUMMYFUNCTION("IMPORTRANGE(""https://docs.google.com/spreadsheets/d/11923uPwbBZFjjGgGUA6NLw09EwE0CqkOc4q9oUmW1yo/edit?usp=sharing"",""นครสวรรค์!I418"")"),0)</f>
        <v>0</v>
      </c>
      <c r="J523" s="187">
        <f ca="1">IFERROR(__xludf.DUMMYFUNCTION("IMPORTRANGE(""https://docs.google.com/spreadsheets/d/11923uPwbBZFjjGgGUA6NLw09EwE0CqkOc4q9oUmW1yo/edit?usp=sharing"",""นครสวรรค์!J418"")"),307)</f>
        <v>307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IFERROR(__xludf.DUMMYFUNCTION("IMPORTRANGE(""https://docs.google.com/spreadsheets/d/11923uPwbBZFjjGgGUA6NLw09EwE0CqkOc4q9oUmW1yo/edit?usp=sharing"",""นครสวรรค์!I419"")"),0)</f>
        <v>0</v>
      </c>
      <c r="J524" s="187">
        <f ca="1">IFERROR(__xludf.DUMMYFUNCTION("IMPORTRANGE(""https://docs.google.com/spreadsheets/d/11923uPwbBZFjjGgGUA6NLw09EwE0CqkOc4q9oUmW1yo/edit?usp=sharing"",""นครสวรรค์!J419"")"),26)</f>
        <v>26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IFERROR(__xludf.DUMMYFUNCTION("IMPORTRANGE(""https://docs.google.com/spreadsheets/d/11923uPwbBZFjjGgGUA6NLw09EwE0CqkOc4q9oUmW1yo/edit?usp=sharing"",""นครสวรรค์!I420"")"),307)</f>
        <v>307</v>
      </c>
      <c r="J525" s="284">
        <f ca="1">IFERROR(__xludf.DUMMYFUNCTION("IMPORTRANGE(""https://docs.google.com/spreadsheets/d/11923uPwbBZFjjGgGUA6NLw09EwE0CqkOc4q9oUmW1yo/edit?usp=sharing"",""นครสวรรค์!J420"")"),479)</f>
        <v>479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IFERROR(__xludf.DUMMYFUNCTION("IMPORTRANGE(""https://docs.google.com/spreadsheets/d/11923uPwbBZFjjGgGUA6NLw09EwE0CqkOc4q9oUmW1yo/edit?usp=sharing"",""นครสวรรค์!I421"")"),26)</f>
        <v>26</v>
      </c>
      <c r="J526" s="284">
        <f ca="1">IFERROR(__xludf.DUMMYFUNCTION("IMPORTRANGE(""https://docs.google.com/spreadsheets/d/11923uPwbBZFjjGgGUA6NLw09EwE0CqkOc4q9oUmW1yo/edit?usp=sharing"",""นครสวรรค์!J421"")"),37)</f>
        <v>37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IFERROR(__xludf.DUMMYFUNCTION("IMPORTRANGE(""https://docs.google.com/spreadsheets/d/11923uPwbBZFjjGgGUA6NLw09EwE0CqkOc4q9oUmW1yo/edit?usp=sharing"",""นครสวรรค์!I422"")"),0)</f>
        <v>0</v>
      </c>
      <c r="J527" s="197">
        <f ca="1">IFERROR(__xludf.DUMMYFUNCTION("IMPORTRANGE(""https://docs.google.com/spreadsheets/d/11923uPwbBZFjjGgGUA6NLw09EwE0CqkOc4q9oUmW1yo/edit?usp=sharing"",""นครสวรรค์!J422"")"),238)</f>
        <v>238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IFERROR(__xludf.DUMMYFUNCTION("IMPORTRANGE(""https://docs.google.com/spreadsheets/d/11923uPwbBZFjjGgGUA6NLw09EwE0CqkOc4q9oUmW1yo/edit?usp=sharing"",""นครสวรรค์!I423"")"),0)</f>
        <v>0</v>
      </c>
      <c r="J528" s="197">
        <f ca="1">IFERROR(__xludf.DUMMYFUNCTION("IMPORTRANGE(""https://docs.google.com/spreadsheets/d/11923uPwbBZFjjGgGUA6NLw09EwE0CqkOc4q9oUmW1yo/edit?usp=sharing"",""นครสวรรค์!J423"")"),11)</f>
        <v>11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IFERROR(__xludf.DUMMYFUNCTION("IMPORTRANGE(""https://docs.google.com/spreadsheets/d/11923uPwbBZFjjGgGUA6NLw09EwE0CqkOc4q9oUmW1yo/edit?usp=sharing"",""นครสวรรค์!I424"")"),0)</f>
        <v>0</v>
      </c>
      <c r="J529" s="197">
        <f ca="1">IFERROR(__xludf.DUMMYFUNCTION("IMPORTRANGE(""https://docs.google.com/spreadsheets/d/11923uPwbBZFjjGgGUA6NLw09EwE0CqkOc4q9oUmW1yo/edit?usp=sharing"",""นครสวรรค์!J424"")"),216)</f>
        <v>216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IFERROR(__xludf.DUMMYFUNCTION("IMPORTRANGE(""https://docs.google.com/spreadsheets/d/11923uPwbBZFjjGgGUA6NLw09EwE0CqkOc4q9oUmW1yo/edit?usp=sharing"",""นครสวรรค์!I425"")"),0)</f>
        <v>0</v>
      </c>
      <c r="J530" s="197">
        <f ca="1">IFERROR(__xludf.DUMMYFUNCTION("IMPORTRANGE(""https://docs.google.com/spreadsheets/d/11923uPwbBZFjjGgGUA6NLw09EwE0CqkOc4q9oUmW1yo/edit?usp=sharing"",""นครสวรรค์!J425"")"),24)</f>
        <v>24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IFERROR(__xludf.DUMMYFUNCTION("IMPORTRANGE(""https://docs.google.com/spreadsheets/d/11923uPwbBZFjjGgGUA6NLw09EwE0CqkOc4q9oUmW1yo/edit?usp=sharing"",""นครสวรรค์!I426"")"),0)</f>
        <v>0</v>
      </c>
      <c r="J531" s="197">
        <f ca="1">IFERROR(__xludf.DUMMYFUNCTION("IMPORTRANGE(""https://docs.google.com/spreadsheets/d/11923uPwbBZFjjGgGUA6NLw09EwE0CqkOc4q9oUmW1yo/edit?usp=sharing"",""นครสวรรค์!J426"")"),25)</f>
        <v>25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IFERROR(__xludf.DUMMYFUNCTION("IMPORTRANGE(""https://docs.google.com/spreadsheets/d/11923uPwbBZFjjGgGUA6NLw09EwE0CqkOc4q9oUmW1yo/edit?usp=sharing"",""นครสวรรค์!I427"")"),0)</f>
        <v>0</v>
      </c>
      <c r="J532" s="466">
        <f ca="1">IFERROR(__xludf.DUMMYFUNCTION("IMPORTRANGE(""https://docs.google.com/spreadsheets/d/11923uPwbBZFjjGgGUA6NLw09EwE0CqkOc4q9oUmW1yo/edit?usp=sharing"",""นครสวรรค์!J427"")"),2)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IFERROR(__xludf.DUMMYFUNCTION("IMPORTRANGE(""https://docs.google.com/spreadsheets/d/11923uPwbBZFjjGgGUA6NLw09EwE0CqkOc4q9oUmW1yo/edit?usp=sharing"",""นครสวรรค์!I428"")"),22)</f>
        <v>22</v>
      </c>
      <c r="J533" s="409">
        <f ca="1">IFERROR(__xludf.DUMMYFUNCTION("IMPORTRANGE(""https://docs.google.com/spreadsheets/d/11923uPwbBZFjjGgGUA6NLw09EwE0CqkOc4q9oUmW1yo/edit?usp=sharing"",""นครสวรรค์!J428"")"),22)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IFERROR(__xludf.DUMMYFUNCTION("IMPORTRANGE(""https://docs.google.com/spreadsheets/d/11923uPwbBZFjjGgGUA6NLw09EwE0CqkOc4q9oUmW1yo/edit?usp=sharing"",""นครสวรรค์!L428"")"),34340)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IFERROR(__xludf.DUMMYFUNCTION("IMPORTRANGE(""https://docs.google.com/spreadsheets/d/11923uPwbBZFjjGgGUA6NLw09EwE0CqkOc4q9oUmW1yo/edit?usp=sharing"",""นครสวรรค์!M428"")"),24185)</f>
        <v>24185</v>
      </c>
      <c r="O533" s="411">
        <f t="shared" ref="O533:O537" ca="1" si="118">+IF(L533&gt;0,N533*100/L533,0)</f>
        <v>70.4280722189866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IFERROR(__xludf.DUMMYFUNCTION("IMPORTRANGE(""https://docs.google.com/spreadsheets/d/11923uPwbBZFjjGgGUA6NLw09EwE0CqkOc4q9oUmW1yo/edit?usp=sharing"",""นครสวรรค์!L429"")"),0)</f>
        <v>0</v>
      </c>
      <c r="M534" s="164"/>
      <c r="N534" s="168">
        <f ca="1">IFERROR(__xludf.DUMMYFUNCTION("IMPORTRANGE(""https://docs.google.com/spreadsheets/d/11923uPwbBZFjjGgGUA6NLw09EwE0CqkOc4q9oUmW1yo/edit?usp=sharing"",""นครสวรรค์!M429"")"),0)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IFERROR(__xludf.DUMMYFUNCTION("IMPORTRANGE(""https://docs.google.com/spreadsheets/d/11923uPwbBZFjjGgGUA6NLw09EwE0CqkOc4q9oUmW1yo/edit?usp=sharing"",""นครสวรรค์!L430"")"),34340)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IFERROR(__xludf.DUMMYFUNCTION("IMPORTRANGE(""https://docs.google.com/spreadsheets/d/11923uPwbBZFjjGgGUA6NLw09EwE0CqkOc4q9oUmW1yo/edit?usp=sharing"",""นครสวรรค์!M430"")"),24185)</f>
        <v>24185</v>
      </c>
      <c r="O535" s="168">
        <f t="shared" ca="1" si="118"/>
        <v>70.4280722189866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IFERROR(__xludf.DUMMYFUNCTION("IMPORTRANGE(""https://docs.google.com/spreadsheets/d/11923uPwbBZFjjGgGUA6NLw09EwE0CqkOc4q9oUmW1yo/edit?usp=sharing"",""นครสวรรค์!L431"")"),0)</f>
        <v>0</v>
      </c>
      <c r="M536" s="168"/>
      <c r="N536" s="168">
        <f ca="1">IFERROR(__xludf.DUMMYFUNCTION("IMPORTRANGE(""https://docs.google.com/spreadsheets/d/11923uPwbBZFjjGgGUA6NLw09EwE0CqkOc4q9oUmW1yo/edit?usp=sharing"",""นครสวรรค์!M431"")"),0)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IFERROR(__xludf.DUMMYFUNCTION("IMPORTRANGE(""https://docs.google.com/spreadsheets/d/11923uPwbBZFjjGgGUA6NLw09EwE0CqkOc4q9oUmW1yo/edit?usp=sharing"",""นครสวรรค์!L432"")"),34340)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IFERROR(__xludf.DUMMYFUNCTION("IMPORTRANGE(""https://docs.google.com/spreadsheets/d/11923uPwbBZFjjGgGUA6NLw09EwE0CqkOc4q9oUmW1yo/edit?usp=sharing"",""นครสวรรค์!M432"")"),24185)</f>
        <v>24185</v>
      </c>
      <c r="O537" s="168">
        <f t="shared" ca="1" si="118"/>
        <v>70.4280722189866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IFERROR(__xludf.DUMMYFUNCTION("IMPORTRANGE(""https://docs.google.com/spreadsheets/d/11923uPwbBZFjjGgGUA6NLw09EwE0CqkOc4q9oUmW1yo/edit?usp=sharing"",""นครสวรรค์!M433"")"),18740)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IFERROR(__xludf.DUMMYFUNCTION("IMPORTRANGE(""https://docs.google.com/spreadsheets/d/11923uPwbBZFjjGgGUA6NLw09EwE0CqkOc4q9oUmW1yo/edit?usp=sharing"",""นครสวรรค์!M434"")"),0)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IFERROR(__xludf.DUMMYFUNCTION("IMPORTRANGE(""https://docs.google.com/spreadsheets/d/11923uPwbBZFjjGgGUA6NLw09EwE0CqkOc4q9oUmW1yo/edit?usp=sharing"",""นครสวรรค์!M435"")"),0)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IFERROR(__xludf.DUMMYFUNCTION("IMPORTRANGE(""https://docs.google.com/spreadsheets/d/11923uPwbBZFjjGgGUA6NLw09EwE0CqkOc4q9oUmW1yo/edit?usp=sharing"",""นครสวรรค์!M436"")"),5445)</f>
        <v>5445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IFERROR(__xludf.DUMMYFUNCTION("IMPORTRANGE(""https://docs.google.com/spreadsheets/d/11923uPwbBZFjjGgGUA6NLw09EwE0CqkOc4q9oUmW1yo/edit?usp=sharing"",""นครสวรรค์!J438"")"),0)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IFERROR(__xludf.DUMMYFUNCTION("IMPORTRANGE(""https://docs.google.com/spreadsheets/d/11923uPwbBZFjjGgGUA6NLw09EwE0CqkOc4q9oUmW1yo/edit?usp=sharing"",""นครสวรรค์!J439"")"),1)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IFERROR(__xludf.DUMMYFUNCTION("IMPORTRANGE(""https://docs.google.com/spreadsheets/d/11923uPwbBZFjjGgGUA6NLw09EwE0CqkOc4q9oUmW1yo/edit?usp=sharing"",""นครสวรรค์!J440"")"),1)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IFERROR(__xludf.DUMMYFUNCTION("IMPORTRANGE(""https://docs.google.com/spreadsheets/d/11923uPwbBZFjjGgGUA6NLw09EwE0CqkOc4q9oUmW1yo/edit?usp=sharing"",""นครสวรรค์!J441"")"),1)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IFERROR(__xludf.DUMMYFUNCTION("IMPORTRANGE(""https://docs.google.com/spreadsheets/d/11923uPwbBZFjjGgGUA6NLw09EwE0CqkOc4q9oUmW1yo/edit?usp=sharing"",""นครสวรรค์!I442"")"),22)</f>
        <v>22</v>
      </c>
      <c r="J547" s="188">
        <f ca="1">IFERROR(__xludf.DUMMYFUNCTION("IMPORTRANGE(""https://docs.google.com/spreadsheets/d/11923uPwbBZFjjGgGUA6NLw09EwE0CqkOc4q9oUmW1yo/edit?usp=sharing"",""นครสวรรค์!J442"")"),22)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IFERROR(__xludf.DUMMYFUNCTION("IMPORTRANGE(""https://docs.google.com/spreadsheets/d/11923uPwbBZFjjGgGUA6NLw09EwE0CqkOc4q9oUmW1yo/edit?usp=sharing"",""นครสวรรค์!J166"")"),0)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IFERROR(__xludf.DUMMYFUNCTION("IMPORTRANGE(""https://docs.google.com/spreadsheets/d/11923uPwbBZFjjGgGUA6NLw09EwE0CqkOc4q9oUmW1yo/edit?usp=sharing"",""นครสวรรค์!J444"")"),1)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IFERROR(__xludf.DUMMYFUNCTION("IMPORTRANGE(""https://docs.google.com/spreadsheets/d/11923uPwbBZFjjGgGUA6NLw09EwE0CqkOc4q9oUmW1yo/edit?usp=sharing"",""นครสวรรค์!J445"")"),0)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IFERROR(__xludf.DUMMYFUNCTION("IMPORTRANGE(""https://docs.google.com/spreadsheets/d/11923uPwbBZFjjGgGUA6NLw09EwE0CqkOc4q9oUmW1yo/edit?usp=sharing"",""นครสวรรค์!I446"")"),0)</f>
        <v>0</v>
      </c>
      <c r="J551" s="409">
        <f ca="1">IFERROR(__xludf.DUMMYFUNCTION("IMPORTRANGE(""https://docs.google.com/spreadsheets/d/11923uPwbBZFjjGgGUA6NLw09EwE0CqkOc4q9oUmW1yo/edit?usp=sharing"",""นครสวรรค์!J446"")"),0)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IFERROR(__xludf.DUMMYFUNCTION("IMPORTRANGE(""https://docs.google.com/spreadsheets/d/11923uPwbBZFjjGgGUA6NLw09EwE0CqkOc4q9oUmW1yo/edit?usp=sharing"",""นครสวรรค์!L446"")"),0)</f>
        <v>0</v>
      </c>
      <c r="M551" s="411"/>
      <c r="N551" s="411">
        <f ca="1">IFERROR(__xludf.DUMMYFUNCTION("IMPORTRANGE(""https://docs.google.com/spreadsheets/d/11923uPwbBZFjjGgGUA6NLw09EwE0CqkOc4q9oUmW1yo/edit?usp=sharing"",""นครสวรรค์!M446"")"),0)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IFERROR(__xludf.DUMMYFUNCTION("IMPORTRANGE(""https://docs.google.com/spreadsheets/d/11923uPwbBZFjjGgGUA6NLw09EwE0CqkOc4q9oUmW1yo/edit?usp=sharing"",""นครสวรรค์!L447"")"),0)</f>
        <v>0</v>
      </c>
      <c r="M552" s="164"/>
      <c r="N552" s="168">
        <f ca="1">IFERROR(__xludf.DUMMYFUNCTION("IMPORTRANGE(""https://docs.google.com/spreadsheets/d/11923uPwbBZFjjGgGUA6NLw09EwE0CqkOc4q9oUmW1yo/edit?usp=sharing"",""นครสวรรค์!M447"")"),0)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IFERROR(__xludf.DUMMYFUNCTION("IMPORTRANGE(""https://docs.google.com/spreadsheets/d/11923uPwbBZFjjGgGUA6NLw09EwE0CqkOc4q9oUmW1yo/edit?usp=sharing"",""นครสวรรค์!L448"")"),0)</f>
        <v>0</v>
      </c>
      <c r="M553" s="165"/>
      <c r="N553" s="168">
        <f ca="1">IFERROR(__xludf.DUMMYFUNCTION("IMPORTRANGE(""https://docs.google.com/spreadsheets/d/11923uPwbBZFjjGgGUA6NLw09EwE0CqkOc4q9oUmW1yo/edit?usp=sharing"",""นครสวรรค์!M448"")"),0)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IFERROR(__xludf.DUMMYFUNCTION("IMPORTRANGE(""https://docs.google.com/spreadsheets/d/11923uPwbBZFjjGgGUA6NLw09EwE0CqkOc4q9oUmW1yo/edit?usp=sharing"",""นครสวรรค์!L449"")"),0)</f>
        <v>0</v>
      </c>
      <c r="M554" s="168"/>
      <c r="N554" s="168">
        <f ca="1">IFERROR(__xludf.DUMMYFUNCTION("IMPORTRANGE(""https://docs.google.com/spreadsheets/d/11923uPwbBZFjjGgGUA6NLw09EwE0CqkOc4q9oUmW1yo/edit?usp=sharing"",""นครสวรรค์!M449"")"),0)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IFERROR(__xludf.DUMMYFUNCTION("IMPORTRANGE(""https://docs.google.com/spreadsheets/d/11923uPwbBZFjjGgGUA6NLw09EwE0CqkOc4q9oUmW1yo/edit?usp=sharing"",""นครสวรรค์!L450"")"),0)</f>
        <v>0</v>
      </c>
      <c r="M555" s="168"/>
      <c r="N555" s="168">
        <f ca="1">IFERROR(__xludf.DUMMYFUNCTION("IMPORTRANGE(""https://docs.google.com/spreadsheets/d/11923uPwbBZFjjGgGUA6NLw09EwE0CqkOc4q9oUmW1yo/edit?usp=sharing"",""นครสวรรค์!M450"")"),0)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IFERROR(__xludf.DUMMYFUNCTION("IMPORTRANGE(""https://docs.google.com/spreadsheets/d/11923uPwbBZFjjGgGUA6NLw09EwE0CqkOc4q9oUmW1yo/edit?usp=sharing"",""นครสวรรค์!M451"")"),0)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IFERROR(__xludf.DUMMYFUNCTION("IMPORTRANGE(""https://docs.google.com/spreadsheets/d/11923uPwbBZFjjGgGUA6NLw09EwE0CqkOc4q9oUmW1yo/edit?usp=sharing"",""นครสวรรค์!M452"")"),0)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IFERROR(__xludf.DUMMYFUNCTION("IMPORTRANGE(""https://docs.google.com/spreadsheets/d/11923uPwbBZFjjGgGUA6NLw09EwE0CqkOc4q9oUmW1yo/edit?usp=sharing"",""นครสวรรค์!M453"")"),0)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IFERROR(__xludf.DUMMYFUNCTION("IMPORTRANGE(""https://docs.google.com/spreadsheets/d/11923uPwbBZFjjGgGUA6NLw09EwE0CqkOc4q9oUmW1yo/edit?usp=sharing"",""นครสวรรค์!M454"")"),0)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IFERROR(__xludf.DUMMYFUNCTION("IMPORTRANGE(""https://docs.google.com/spreadsheets/d/11923uPwbBZFjjGgGUA6NLw09EwE0CqkOc4q9oUmW1yo/edit?usp=sharing"",""นครสวรรค์!I455"")"),0)</f>
        <v>0</v>
      </c>
      <c r="J560" s="162">
        <f ca="1">IFERROR(__xludf.DUMMYFUNCTION("IMPORTRANGE(""https://docs.google.com/spreadsheets/d/11923uPwbBZFjjGgGUA6NLw09EwE0CqkOc4q9oUmW1yo/edit?usp=sharing"",""นครสวรรค์!J455"")"),0)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IFERROR(__xludf.DUMMYFUNCTION("IMPORTRANGE(""https://docs.google.com/spreadsheets/d/11923uPwbBZFjjGgGUA6NLw09EwE0CqkOc4q9oUmW1yo/edit?usp=sharing"",""นครสวรรค์!I456"")"),0)</f>
        <v>0</v>
      </c>
      <c r="J561" s="203">
        <f ca="1">IFERROR(__xludf.DUMMYFUNCTION("IMPORTRANGE(""https://docs.google.com/spreadsheets/d/11923uPwbBZFjjGgGUA6NLw09EwE0CqkOc4q9oUmW1yo/edit?usp=sharing"",""นครสวรรค์!J456"")"),0)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IFERROR(__xludf.DUMMYFUNCTION("IMPORTRANGE(""https://docs.google.com/spreadsheets/d/11923uPwbBZFjjGgGUA6NLw09EwE0CqkOc4q9oUmW1yo/edit?usp=sharing"",""นครสวรรค์!I459"")"),2750)</f>
        <v>2750</v>
      </c>
      <c r="J564" s="370">
        <f ca="1">IFERROR(__xludf.DUMMYFUNCTION("IMPORTRANGE(""https://docs.google.com/spreadsheets/d/11923uPwbBZFjjGgGUA6NLw09EwE0CqkOc4q9oUmW1yo/edit?usp=sharing"",""นครสวรรค์!J459"")"),3184)</f>
        <v>3184</v>
      </c>
      <c r="K564" s="371">
        <f ca="1">IF(I564&gt;0,J564*100/I564,0)</f>
        <v>115.78181818181818</v>
      </c>
      <c r="L564" s="372">
        <f ca="1">IFERROR(__xludf.DUMMYFUNCTION("IMPORTRANGE(""https://docs.google.com/spreadsheets/d/11923uPwbBZFjjGgGUA6NLw09EwE0CqkOc4q9oUmW1yo/edit?usp=sharing"",""นครสวรรค์!L459"")"),140160)</f>
        <v>140160</v>
      </c>
      <c r="M564" s="372"/>
      <c r="N564" s="372">
        <f ca="1">IFERROR(__xludf.DUMMYFUNCTION("IMPORTRANGE(""https://docs.google.com/spreadsheets/d/11923uPwbBZFjjGgGUA6NLw09EwE0CqkOc4q9oUmW1yo/edit?usp=sharing"",""นครสวรรค์!M459"")"),107963)</f>
        <v>107963</v>
      </c>
      <c r="O564" s="372">
        <f t="shared" ref="O564:O568" ca="1" si="122">+IF(L564&gt;0,N564*100/L564,0)</f>
        <v>77.02839611872146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IFERROR(__xludf.DUMMYFUNCTION("IMPORTRANGE(""https://docs.google.com/spreadsheets/d/11923uPwbBZFjjGgGUA6NLw09EwE0CqkOc4q9oUmW1yo/edit?usp=sharing"",""นครสวรรค์!L460"")"),0)</f>
        <v>0</v>
      </c>
      <c r="M565" s="164"/>
      <c r="N565" s="168">
        <f ca="1">IFERROR(__xludf.DUMMYFUNCTION("IMPORTRANGE(""https://docs.google.com/spreadsheets/d/11923uPwbBZFjjGgGUA6NLw09EwE0CqkOc4q9oUmW1yo/edit?usp=sharing"",""นครสวรรค์!M460"")"),0)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IFERROR(__xludf.DUMMYFUNCTION("IMPORTRANGE(""https://docs.google.com/spreadsheets/d/11923uPwbBZFjjGgGUA6NLw09EwE0CqkOc4q9oUmW1yo/edit?usp=sharing"",""นครสวรรค์!L461"")"),140160)</f>
        <v>140160</v>
      </c>
      <c r="M566" s="165"/>
      <c r="N566" s="168">
        <f ca="1">IFERROR(__xludf.DUMMYFUNCTION("IMPORTRANGE(""https://docs.google.com/spreadsheets/d/11923uPwbBZFjjGgGUA6NLw09EwE0CqkOc4q9oUmW1yo/edit?usp=sharing"",""นครสวรรค์!M461"")"),107963)</f>
        <v>107963</v>
      </c>
      <c r="O566" s="168">
        <f t="shared" ca="1" si="122"/>
        <v>77.02839611872146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IFERROR(__xludf.DUMMYFUNCTION("IMPORTRANGE(""https://docs.google.com/spreadsheets/d/11923uPwbBZFjjGgGUA6NLw09EwE0CqkOc4q9oUmW1yo/edit?usp=sharing"",""นครสวรรค์!L462"")"),0)</f>
        <v>0</v>
      </c>
      <c r="M567" s="168"/>
      <c r="N567" s="168">
        <f ca="1">IFERROR(__xludf.DUMMYFUNCTION("IMPORTRANGE(""https://docs.google.com/spreadsheets/d/11923uPwbBZFjjGgGUA6NLw09EwE0CqkOc4q9oUmW1yo/edit?usp=sharing"",""นครสวรรค์!M462"")"),0)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IFERROR(__xludf.DUMMYFUNCTION("IMPORTRANGE(""https://docs.google.com/spreadsheets/d/11923uPwbBZFjjGgGUA6NLw09EwE0CqkOc4q9oUmW1yo/edit?usp=sharing"",""นครสวรรค์!L463"")"),140160)</f>
        <v>140160</v>
      </c>
      <c r="M568" s="168"/>
      <c r="N568" s="168">
        <f ca="1">IFERROR(__xludf.DUMMYFUNCTION("IMPORTRANGE(""https://docs.google.com/spreadsheets/d/11923uPwbBZFjjGgGUA6NLw09EwE0CqkOc4q9oUmW1yo/edit?usp=sharing"",""นครสวรรค์!M463"")"),107963)</f>
        <v>107963</v>
      </c>
      <c r="O568" s="168">
        <f t="shared" ca="1" si="122"/>
        <v>77.02839611872146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IFERROR(__xludf.DUMMYFUNCTION("IMPORTRANGE(""https://docs.google.com/spreadsheets/d/11923uPwbBZFjjGgGUA6NLw09EwE0CqkOc4q9oUmW1yo/edit?usp=sharing"",""นครสวรรค์!M464"")"),0)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IFERROR(__xludf.DUMMYFUNCTION("IMPORTRANGE(""https://docs.google.com/spreadsheets/d/11923uPwbBZFjjGgGUA6NLw09EwE0CqkOc4q9oUmW1yo/edit?usp=sharing"",""นครสวรรค์!M465"")"),0)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IFERROR(__xludf.DUMMYFUNCTION("IMPORTRANGE(""https://docs.google.com/spreadsheets/d/11923uPwbBZFjjGgGUA6NLw09EwE0CqkOc4q9oUmW1yo/edit?usp=sharing"",""นครสวรรค์!M466"")"),85064)</f>
        <v>85064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IFERROR(__xludf.DUMMYFUNCTION("IMPORTRANGE(""https://docs.google.com/spreadsheets/d/11923uPwbBZFjjGgGUA6NLw09EwE0CqkOc4q9oUmW1yo/edit?usp=sharing"",""นครสวรรค์!M467"")"),22899)</f>
        <v>22899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IFERROR(__xludf.DUMMYFUNCTION("IMPORTRANGE(""https://docs.google.com/spreadsheets/d/11923uPwbBZFjjGgGUA6NLw09EwE0CqkOc4q9oUmW1yo/edit?usp=sharing"",""นครสวรรค์!I468"")"),2750)</f>
        <v>2750</v>
      </c>
      <c r="J573" s="420">
        <f ca="1">IFERROR(__xludf.DUMMYFUNCTION("IMPORTRANGE(""https://docs.google.com/spreadsheets/d/11923uPwbBZFjjGgGUA6NLw09EwE0CqkOc4q9oUmW1yo/edit?usp=sharing"",""นครสวรรค์!J468"")"),3184)</f>
        <v>3184</v>
      </c>
      <c r="K573" s="201">
        <f ca="1">IF(I573&gt;0,J573*100/I573,0)</f>
        <v>115.78181818181818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IFERROR(__xludf.DUMMYFUNCTION("IMPORTRANGE(""https://docs.google.com/spreadsheets/d/11923uPwbBZFjjGgGUA6NLw09EwE0CqkOc4q9oUmW1yo/edit?usp=sharing"",""นครสวรรค์!I470"")"),0)</f>
        <v>0</v>
      </c>
      <c r="J575" s="197">
        <f ca="1">IFERROR(__xludf.DUMMYFUNCTION("IMPORTRANGE(""https://docs.google.com/spreadsheets/d/11923uPwbBZFjjGgGUA6NLw09EwE0CqkOc4q9oUmW1yo/edit?usp=sharing"",""นครสวรรค์!J470"")"),7)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IFERROR(__xludf.DUMMYFUNCTION("IMPORTRANGE(""https://docs.google.com/spreadsheets/d/11923uPwbBZFjjGgGUA6NLw09EwE0CqkOc4q9oUmW1yo/edit?usp=sharing"",""นครสวรรค์!I471"")"),0)</f>
        <v>0</v>
      </c>
      <c r="J576" s="197">
        <f ca="1">IFERROR(__xludf.DUMMYFUNCTION("IMPORTRANGE(""https://docs.google.com/spreadsheets/d/11923uPwbBZFjjGgGUA6NLw09EwE0CqkOc4q9oUmW1yo/edit?usp=sharing"",""นครสวรรค์!J471"")"),315)</f>
        <v>315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IFERROR(__xludf.DUMMYFUNCTION("IMPORTRANGE(""https://docs.google.com/spreadsheets/d/11923uPwbBZFjjGgGUA6NLw09EwE0CqkOc4q9oUmW1yo/edit?usp=sharing"",""นครสวรรค์!I472"")"),0)</f>
        <v>0</v>
      </c>
      <c r="J577" s="188">
        <f ca="1">IFERROR(__xludf.DUMMYFUNCTION("IMPORTRANGE(""https://docs.google.com/spreadsheets/d/11923uPwbBZFjjGgGUA6NLw09EwE0CqkOc4q9oUmW1yo/edit?usp=sharing"",""นครสวรรค์!J472"")"),2856)</f>
        <v>2856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IFERROR(__xludf.DUMMYFUNCTION("IMPORTRANGE(""https://docs.google.com/spreadsheets/d/11923uPwbBZFjjGgGUA6NLw09EwE0CqkOc4q9oUmW1yo/edit?usp=sharing"",""นครสวรรค์!I473"")"),0)</f>
        <v>0</v>
      </c>
      <c r="J578" s="197">
        <f ca="1">IFERROR(__xludf.DUMMYFUNCTION("IMPORTRANGE(""https://docs.google.com/spreadsheets/d/11923uPwbBZFjjGgGUA6NLw09EwE0CqkOc4q9oUmW1yo/edit?usp=sharing"",""นครสวรรค์!J473"")"),13)</f>
        <v>13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IFERROR(__xludf.DUMMYFUNCTION("IMPORTRANGE(""https://docs.google.com/spreadsheets/d/11923uPwbBZFjjGgGUA6NLw09EwE0CqkOc4q9oUmW1yo/edit?usp=sharing"",""นครสวรรค์!I474"")"),0)</f>
        <v>0</v>
      </c>
      <c r="J579" s="197">
        <f ca="1">IFERROR(__xludf.DUMMYFUNCTION("IMPORTRANGE(""https://docs.google.com/spreadsheets/d/11923uPwbBZFjjGgGUA6NLw09EwE0CqkOc4q9oUmW1yo/edit?usp=sharing"",""นครสวรรค์!J474"")"),0)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IFERROR(__xludf.DUMMYFUNCTION("IMPORTRANGE(""https://docs.google.com/spreadsheets/d/11923uPwbBZFjjGgGUA6NLw09EwE0CqkOc4q9oUmW1yo/edit?usp=sharing"",""นครสวรรค์!I475"")"),0)</f>
        <v>0</v>
      </c>
      <c r="J580" s="370">
        <f ca="1">IFERROR(__xludf.DUMMYFUNCTION("IMPORTRANGE(""https://docs.google.com/spreadsheets/d/11923uPwbBZFjjGgGUA6NLw09EwE0CqkOc4q9oUmW1yo/edit?usp=sharing"",""นครสวรรค์!J475"")"),0)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IFERROR(__xludf.DUMMYFUNCTION("IMPORTRANGE(""https://docs.google.com/spreadsheets/d/11923uPwbBZFjjGgGUA6NLw09EwE0CqkOc4q9oUmW1yo/edit?usp=sharing"",""นครสวรรค์!L475"")"),0)</f>
        <v>0</v>
      </c>
      <c r="M580" s="372"/>
      <c r="N580" s="372">
        <f ca="1">IFERROR(__xludf.DUMMYFUNCTION("IMPORTRANGE(""https://docs.google.com/spreadsheets/d/11923uPwbBZFjjGgGUA6NLw09EwE0CqkOc4q9oUmW1yo/edit?usp=sharing"",""นครสวรรค์!M475"")"),0)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IFERROR(__xludf.DUMMYFUNCTION("IMPORTRANGE(""https://docs.google.com/spreadsheets/d/11923uPwbBZFjjGgGUA6NLw09EwE0CqkOc4q9oUmW1yo/edit?usp=sharing"",""นครสวรรค์!L476"")"),0)</f>
        <v>0</v>
      </c>
      <c r="M581" s="164"/>
      <c r="N581" s="168">
        <f ca="1">IFERROR(__xludf.DUMMYFUNCTION("IMPORTRANGE(""https://docs.google.com/spreadsheets/d/11923uPwbBZFjjGgGUA6NLw09EwE0CqkOc4q9oUmW1yo/edit?usp=sharing"",""นครสวรรค์!M476"")"),0)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IFERROR(__xludf.DUMMYFUNCTION("IMPORTRANGE(""https://docs.google.com/spreadsheets/d/11923uPwbBZFjjGgGUA6NLw09EwE0CqkOc4q9oUmW1yo/edit?usp=sharing"",""นครสวรรค์!L477"")"),0)</f>
        <v>0</v>
      </c>
      <c r="M582" s="165"/>
      <c r="N582" s="168">
        <f ca="1">IFERROR(__xludf.DUMMYFUNCTION("IMPORTRANGE(""https://docs.google.com/spreadsheets/d/11923uPwbBZFjjGgGUA6NLw09EwE0CqkOc4q9oUmW1yo/edit?usp=sharing"",""นครสวรรค์!M477"")"),0)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IFERROR(__xludf.DUMMYFUNCTION("IMPORTRANGE(""https://docs.google.com/spreadsheets/d/11923uPwbBZFjjGgGUA6NLw09EwE0CqkOc4q9oUmW1yo/edit?usp=sharing"",""นครสวรรค์!L478"")"),0)</f>
        <v>0</v>
      </c>
      <c r="M583" s="168"/>
      <c r="N583" s="168">
        <f ca="1">IFERROR(__xludf.DUMMYFUNCTION("IMPORTRANGE(""https://docs.google.com/spreadsheets/d/11923uPwbBZFjjGgGUA6NLw09EwE0CqkOc4q9oUmW1yo/edit?usp=sharing"",""นครสวรรค์!M478"")"),0)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IFERROR(__xludf.DUMMYFUNCTION("IMPORTRANGE(""https://docs.google.com/spreadsheets/d/11923uPwbBZFjjGgGUA6NLw09EwE0CqkOc4q9oUmW1yo/edit?usp=sharing"",""นครสวรรค์!L479"")"),0)</f>
        <v>0</v>
      </c>
      <c r="M584" s="168"/>
      <c r="N584" s="168">
        <f ca="1">IFERROR(__xludf.DUMMYFUNCTION("IMPORTRANGE(""https://docs.google.com/spreadsheets/d/11923uPwbBZFjjGgGUA6NLw09EwE0CqkOc4q9oUmW1yo/edit?usp=sharing"",""นครสวรรค์!M479"")"),0)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IFERROR(__xludf.DUMMYFUNCTION("IMPORTRANGE(""https://docs.google.com/spreadsheets/d/11923uPwbBZFjjGgGUA6NLw09EwE0CqkOc4q9oUmW1yo/edit?usp=sharing"",""นครสวรรค์!M480"")"),0)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IFERROR(__xludf.DUMMYFUNCTION("IMPORTRANGE(""https://docs.google.com/spreadsheets/d/11923uPwbBZFjjGgGUA6NLw09EwE0CqkOc4q9oUmW1yo/edit?usp=sharing"",""นครสวรรค์!M481"")"),0)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IFERROR(__xludf.DUMMYFUNCTION("IMPORTRANGE(""https://docs.google.com/spreadsheets/d/11923uPwbBZFjjGgGUA6NLw09EwE0CqkOc4q9oUmW1yo/edit?usp=sharing"",""นครสวรรค์!M482"")"),0)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IFERROR(__xludf.DUMMYFUNCTION("IMPORTRANGE(""https://docs.google.com/spreadsheets/d/11923uPwbBZFjjGgGUA6NLw09EwE0CqkOc4q9oUmW1yo/edit?usp=sharing"",""นครสวรรค์!M483"")"),0)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IFERROR(__xludf.DUMMYFUNCTION("IMPORTRANGE(""https://docs.google.com/spreadsheets/d/11923uPwbBZFjjGgGUA6NLw09EwE0CqkOc4q9oUmW1yo/edit?usp=sharing"",""นครสวรรค์!I484"")"),0)</f>
        <v>0</v>
      </c>
      <c r="J589" s="187">
        <f ca="1">IFERROR(__xludf.DUMMYFUNCTION("IMPORTRANGE(""https://docs.google.com/spreadsheets/d/11923uPwbBZFjjGgGUA6NLw09EwE0CqkOc4q9oUmW1yo/edit?usp=sharing"",""นครสวรรค์!J484"")"),0)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IFERROR(__xludf.DUMMYFUNCTION("IMPORTRANGE(""https://docs.google.com/spreadsheets/d/11923uPwbBZFjjGgGUA6NLw09EwE0CqkOc4q9oUmW1yo/edit?usp=sharing"",""นครสวรรค์!I485"")"),0)</f>
        <v>0</v>
      </c>
      <c r="J590" s="187">
        <f ca="1">IFERROR(__xludf.DUMMYFUNCTION("IMPORTRANGE(""https://docs.google.com/spreadsheets/d/11923uPwbBZFjjGgGUA6NLw09EwE0CqkOc4q9oUmW1yo/edit?usp=sharing"",""นครสวรรค์!J485"")"),0)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IFERROR(__xludf.DUMMYFUNCTION("IMPORTRANGE(""https://docs.google.com/spreadsheets/d/11923uPwbBZFjjGgGUA6NLw09EwE0CqkOc4q9oUmW1yo/edit?usp=sharing"",""นครสวรรค์!I486"")"),0)</f>
        <v>0</v>
      </c>
      <c r="J591" s="187">
        <f ca="1">IFERROR(__xludf.DUMMYFUNCTION("IMPORTRANGE(""https://docs.google.com/spreadsheets/d/11923uPwbBZFjjGgGUA6NLw09EwE0CqkOc4q9oUmW1yo/edit?usp=sharing"",""นครสวรรค์!J486"")"),1)</f>
        <v>1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IFERROR(__xludf.DUMMYFUNCTION("IMPORTRANGE(""https://docs.google.com/spreadsheets/d/11923uPwbBZFjjGgGUA6NLw09EwE0CqkOc4q9oUmW1yo/edit?usp=sharing"",""นครสวรรค์!I487"")"),0)</f>
        <v>0</v>
      </c>
      <c r="J592" s="187">
        <f ca="1">IFERROR(__xludf.DUMMYFUNCTION("IMPORTRANGE(""https://docs.google.com/spreadsheets/d/11923uPwbBZFjjGgGUA6NLw09EwE0CqkOc4q9oUmW1yo/edit?usp=sharing"",""นครสวรรค์!J487"")"),0.94)</f>
        <v>0.94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IFERROR(__xludf.DUMMYFUNCTION("IMPORTRANGE(""https://docs.google.com/spreadsheets/d/11923uPwbBZFjjGgGUA6NLw09EwE0CqkOc4q9oUmW1yo/edit?usp=sharing"",""นครสวรรค์!I488"")"),0)</f>
        <v>0</v>
      </c>
      <c r="J593" s="187">
        <f ca="1">IFERROR(__xludf.DUMMYFUNCTION("IMPORTRANGE(""https://docs.google.com/spreadsheets/d/11923uPwbBZFjjGgGUA6NLw09EwE0CqkOc4q9oUmW1yo/edit?usp=sharing"",""นครสวรรค์!J488"")"),0)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IFERROR(__xludf.DUMMYFUNCTION("IMPORTRANGE(""https://docs.google.com/spreadsheets/d/11923uPwbBZFjjGgGUA6NLw09EwE0CqkOc4q9oUmW1yo/edit?usp=sharing"",""นครสวรรค์!I489"")"),0)</f>
        <v>0</v>
      </c>
      <c r="J594" s="187">
        <f ca="1">IFERROR(__xludf.DUMMYFUNCTION("IMPORTRANGE(""https://docs.google.com/spreadsheets/d/11923uPwbBZFjjGgGUA6NLw09EwE0CqkOc4q9oUmW1yo/edit?usp=sharing"",""นครสวรรค์!J489"")"),0)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IFERROR(__xludf.DUMMYFUNCTION("IMPORTRANGE(""https://docs.google.com/spreadsheets/d/11923uPwbBZFjjGgGUA6NLw09EwE0CqkOc4q9oUmW1yo/edit?usp=sharing"",""นครสวรรค์!I490"")"),0)</f>
        <v>0</v>
      </c>
      <c r="J595" s="187">
        <f ca="1">IFERROR(__xludf.DUMMYFUNCTION("IMPORTRANGE(""https://docs.google.com/spreadsheets/d/11923uPwbBZFjjGgGUA6NLw09EwE0CqkOc4q9oUmW1yo/edit?usp=sharing"",""นครสวรรค์!J490"")"),0)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IFERROR(__xludf.DUMMYFUNCTION("IMPORTRANGE(""https://docs.google.com/spreadsheets/d/11923uPwbBZFjjGgGUA6NLw09EwE0CqkOc4q9oUmW1yo/edit?usp=sharing"",""นครสวรรค์!I491"")"),0)</f>
        <v>0</v>
      </c>
      <c r="J596" s="241">
        <f ca="1">IFERROR(__xludf.DUMMYFUNCTION("IMPORTRANGE(""https://docs.google.com/spreadsheets/d/11923uPwbBZFjjGgGUA6NLw09EwE0CqkOc4q9oUmW1yo/edit?usp=sharing"",""นครสวรรค์!J491"")"),0)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IFERROR(__xludf.DUMMYFUNCTION("IMPORTRANGE(""https://docs.google.com/spreadsheets/d/11923uPwbBZFjjGgGUA6NLw09EwE0CqkOc4q9oUmW1yo/edit?usp=sharing"",""นครสวรรค์!I492"")"),50)</f>
        <v>50</v>
      </c>
      <c r="J597" s="488">
        <f ca="1">IFERROR(__xludf.DUMMYFUNCTION("IMPORTRANGE(""https://docs.google.com/spreadsheets/d/11923uPwbBZFjjGgGUA6NLw09EwE0CqkOc4q9oUmW1yo/edit?usp=sharing"",""นครสวรรค์!J492"")"),0)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IFERROR(__xludf.DUMMYFUNCTION("IMPORTRANGE(""https://docs.google.com/spreadsheets/d/11923uPwbBZFjjGgGUA6NLw09EwE0CqkOc4q9oUmW1yo/edit?usp=sharing"",""นครสวรรค์!L492"")"),5350)</f>
        <v>5350</v>
      </c>
      <c r="M597" s="411"/>
      <c r="N597" s="411">
        <f ca="1">IFERROR(__xludf.DUMMYFUNCTION("IMPORTRANGE(""https://docs.google.com/spreadsheets/d/11923uPwbBZFjjGgGUA6NLw09EwE0CqkOc4q9oUmW1yo/edit?usp=sharing"",""นครสวรรค์!M492"")"),800)</f>
        <v>800</v>
      </c>
      <c r="O597" s="411">
        <f t="shared" ref="O597:O601" ca="1" si="126">+IF(L597&gt;0,N597*100/L597,0)</f>
        <v>14.953271028037383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IFERROR(__xludf.DUMMYFUNCTION("IMPORTRANGE(""https://docs.google.com/spreadsheets/d/11923uPwbBZFjjGgGUA6NLw09EwE0CqkOc4q9oUmW1yo/edit?usp=sharing"",""นครสวรรค์!L493"")"),0)</f>
        <v>0</v>
      </c>
      <c r="M598" s="164"/>
      <c r="N598" s="168">
        <f ca="1">IFERROR(__xludf.DUMMYFUNCTION("IMPORTRANGE(""https://docs.google.com/spreadsheets/d/11923uPwbBZFjjGgGUA6NLw09EwE0CqkOc4q9oUmW1yo/edit?usp=sharing"",""นครสวรรค์!M493"")"),0)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IFERROR(__xludf.DUMMYFUNCTION("IMPORTRANGE(""https://docs.google.com/spreadsheets/d/11923uPwbBZFjjGgGUA6NLw09EwE0CqkOc4q9oUmW1yo/edit?usp=sharing"",""นครสวรรค์!L494"")"),5350)</f>
        <v>5350</v>
      </c>
      <c r="M599" s="165"/>
      <c r="N599" s="168">
        <f ca="1">IFERROR(__xludf.DUMMYFUNCTION("IMPORTRANGE(""https://docs.google.com/spreadsheets/d/11923uPwbBZFjjGgGUA6NLw09EwE0CqkOc4q9oUmW1yo/edit?usp=sharing"",""นครสวรรค์!M494"")"),800)</f>
        <v>800</v>
      </c>
      <c r="O599" s="168">
        <f t="shared" ca="1" si="126"/>
        <v>14.953271028037383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IFERROR(__xludf.DUMMYFUNCTION("IMPORTRANGE(""https://docs.google.com/spreadsheets/d/11923uPwbBZFjjGgGUA6NLw09EwE0CqkOc4q9oUmW1yo/edit?usp=sharing"",""นครสวรรค์!L495"")"),0)</f>
        <v>0</v>
      </c>
      <c r="M600" s="168"/>
      <c r="N600" s="168">
        <f ca="1">IFERROR(__xludf.DUMMYFUNCTION("IMPORTRANGE(""https://docs.google.com/spreadsheets/d/11923uPwbBZFjjGgGUA6NLw09EwE0CqkOc4q9oUmW1yo/edit?usp=sharing"",""นครสวรรค์!M495"")"),0)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IFERROR(__xludf.DUMMYFUNCTION("IMPORTRANGE(""https://docs.google.com/spreadsheets/d/11923uPwbBZFjjGgGUA6NLw09EwE0CqkOc4q9oUmW1yo/edit?usp=sharing"",""นครสวรรค์!L496"")"),5350)</f>
        <v>5350</v>
      </c>
      <c r="M601" s="168"/>
      <c r="N601" s="168">
        <f ca="1">IFERROR(__xludf.DUMMYFUNCTION("IMPORTRANGE(""https://docs.google.com/spreadsheets/d/11923uPwbBZFjjGgGUA6NLw09EwE0CqkOc4q9oUmW1yo/edit?usp=sharing"",""นครสวรรค์!M496"")"),800)</f>
        <v>800</v>
      </c>
      <c r="O601" s="168">
        <f t="shared" ca="1" si="126"/>
        <v>14.953271028037383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IFERROR(__xludf.DUMMYFUNCTION("IMPORTRANGE(""https://docs.google.com/spreadsheets/d/11923uPwbBZFjjGgGUA6NLw09EwE0CqkOc4q9oUmW1yo/edit?usp=sharing"",""นครสวรรค์!M497"")"),0)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IFERROR(__xludf.DUMMYFUNCTION("IMPORTRANGE(""https://docs.google.com/spreadsheets/d/11923uPwbBZFjjGgGUA6NLw09EwE0CqkOc4q9oUmW1yo/edit?usp=sharing"",""นครสวรรค์!M498"")"),0)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IFERROR(__xludf.DUMMYFUNCTION("IMPORTRANGE(""https://docs.google.com/spreadsheets/d/11923uPwbBZFjjGgGUA6NLw09EwE0CqkOc4q9oUmW1yo/edit?usp=sharing"",""นครสวรรค์!M499"")"),0)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IFERROR(__xludf.DUMMYFUNCTION("IMPORTRANGE(""https://docs.google.com/spreadsheets/d/11923uPwbBZFjjGgGUA6NLw09EwE0CqkOc4q9oUmW1yo/edit?usp=sharing"",""นครสวรรค์!M500"")"),800)</f>
        <v>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IFERROR(__xludf.DUMMYFUNCTION("IMPORTRANGE(""https://docs.google.com/spreadsheets/d/11923uPwbBZFjjGgGUA6NLw09EwE0CqkOc4q9oUmW1yo/edit?usp=sharing"",""นครสวรรค์!J502"")"),0)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IFERROR(__xludf.DUMMYFUNCTION("IMPORTRANGE(""https://docs.google.com/spreadsheets/d/11923uPwbBZFjjGgGUA6NLw09EwE0CqkOc4q9oUmW1yo/edit?usp=sharing"",""นครสวรรค์!J503"")"),1)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IFERROR(__xludf.DUMMYFUNCTION("IMPORTRANGE(""https://docs.google.com/spreadsheets/d/11923uPwbBZFjjGgGUA6NLw09EwE0CqkOc4q9oUmW1yo/edit?usp=sharing"",""นครสวรรค์!J166"")"),0)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IFERROR(__xludf.DUMMYFUNCTION("IMPORTRANGE(""https://docs.google.com/spreadsheets/d/11923uPwbBZFjjGgGUA6NLw09EwE0CqkOc4q9oUmW1yo/edit?usp=sharing"",""นครสวรรค์!J166"")"),0)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IFERROR(__xludf.DUMMYFUNCTION("IMPORTRANGE(""https://docs.google.com/spreadsheets/d/11923uPwbBZFjjGgGUA6NLw09EwE0CqkOc4q9oUmW1yo/edit?usp=sharing"",""นครสวรรค์!I506"")"),50)</f>
        <v>50</v>
      </c>
      <c r="J611" s="162">
        <f ca="1">IFERROR(__xludf.DUMMYFUNCTION("IMPORTRANGE(""https://docs.google.com/spreadsheets/d/11923uPwbBZFjjGgGUA6NLw09EwE0CqkOc4q9oUmW1yo/edit?usp=sharing"",""นครสวรรค์!J506"")"),0)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IFERROR(__xludf.DUMMYFUNCTION("IMPORTRANGE(""https://docs.google.com/spreadsheets/d/11923uPwbBZFjjGgGUA6NLw09EwE0CqkOc4q9oUmW1yo/edit?usp=sharing"",""นครสวรรค์!I507"")"),0)</f>
        <v>0</v>
      </c>
      <c r="J612" s="197">
        <f ca="1">IFERROR(__xludf.DUMMYFUNCTION("IMPORTRANGE(""https://docs.google.com/spreadsheets/d/11923uPwbBZFjjGgGUA6NLw09EwE0CqkOc4q9oUmW1yo/edit?usp=sharing"",""นครสวรรค์!J507"")"),14)</f>
        <v>14</v>
      </c>
      <c r="K612" s="163">
        <f t="shared" ca="1" si="127"/>
        <v>28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IFERROR(__xludf.DUMMYFUNCTION("IMPORTRANGE(""https://docs.google.com/spreadsheets/d/11923uPwbBZFjjGgGUA6NLw09EwE0CqkOc4q9oUmW1yo/edit?usp=sharing"",""นครสวรรค์!I508"")"),0)</f>
        <v>0</v>
      </c>
      <c r="J613" s="197">
        <f ca="1">IFERROR(__xludf.DUMMYFUNCTION("IMPORTRANGE(""https://docs.google.com/spreadsheets/d/11923uPwbBZFjjGgGUA6NLw09EwE0CqkOc4q9oUmW1yo/edit?usp=sharing"",""นครสวรรค์!J508"")"),0)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IFERROR(__xludf.DUMMYFUNCTION("IMPORTRANGE(""https://docs.google.com/spreadsheets/d/11923uPwbBZFjjGgGUA6NLw09EwE0CqkOc4q9oUmW1yo/edit?usp=sharing"",""นครสวรรค์!I509"")"),0)</f>
        <v>0</v>
      </c>
      <c r="J614" s="197">
        <f ca="1">IFERROR(__xludf.DUMMYFUNCTION("IMPORTRANGE(""https://docs.google.com/spreadsheets/d/11923uPwbBZFjjGgGUA6NLw09EwE0CqkOc4q9oUmW1yo/edit?usp=sharing"",""นครสวรรค์!J509"")"),0)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IFERROR(__xludf.DUMMYFUNCTION("IMPORTRANGE(""https://docs.google.com/spreadsheets/d/11923uPwbBZFjjGgGUA6NLw09EwE0CqkOc4q9oUmW1yo/edit?usp=sharing"",""นครสวรรค์!I510"")"),0)</f>
        <v>0</v>
      </c>
      <c r="J615" s="197">
        <f ca="1">IFERROR(__xludf.DUMMYFUNCTION("IMPORTRANGE(""https://docs.google.com/spreadsheets/d/11923uPwbBZFjjGgGUA6NLw09EwE0CqkOc4q9oUmW1yo/edit?usp=sharing"",""นครสวรรค์!J510"")"),0)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IFERROR(__xludf.DUMMYFUNCTION("IMPORTRANGE(""https://docs.google.com/spreadsheets/d/11923uPwbBZFjjGgGUA6NLw09EwE0CqkOc4q9oUmW1yo/edit?usp=sharing"",""นครสวรรค์!I511"")"),0)</f>
        <v>0</v>
      </c>
      <c r="J616" s="197">
        <f ca="1">IFERROR(__xludf.DUMMYFUNCTION("IMPORTRANGE(""https://docs.google.com/spreadsheets/d/11923uPwbBZFjjGgGUA6NLw09EwE0CqkOc4q9oUmW1yo/edit?usp=sharing"",""นครสวรรค์!J511"")"),0)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IFERROR(__xludf.DUMMYFUNCTION("IMPORTRANGE(""https://docs.google.com/spreadsheets/d/11923uPwbBZFjjGgGUA6NLw09EwE0CqkOc4q9oUmW1yo/edit?usp=sharing"",""นครสวรรค์!I512"")"),0)</f>
        <v>0</v>
      </c>
      <c r="J617" s="187">
        <f ca="1">IFERROR(__xludf.DUMMYFUNCTION("IMPORTRANGE(""https://docs.google.com/spreadsheets/d/11923uPwbBZFjjGgGUA6NLw09EwE0CqkOc4q9oUmW1yo/edit?usp=sharing"",""นครสวรรค์!J512"")"),0)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IFERROR(__xludf.DUMMYFUNCTION("IMPORTRANGE(""https://docs.google.com/spreadsheets/d/11923uPwbBZFjjGgGUA6NLw09EwE0CqkOc4q9oUmW1yo/edit?usp=sharing"",""นครสวรรค์!I513"")"),0)</f>
        <v>0</v>
      </c>
      <c r="J618" s="188">
        <f ca="1">IFERROR(__xludf.DUMMYFUNCTION("IMPORTRANGE(""https://docs.google.com/spreadsheets/d/11923uPwbBZFjjGgGUA6NLw09EwE0CqkOc4q9oUmW1yo/edit?usp=sharing"",""นครสวรรค์!J513"")"),0)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IFERROR(__xludf.DUMMYFUNCTION("IMPORTRANGE(""https://docs.google.com/spreadsheets/d/11923uPwbBZFjjGgGUA6NLw09EwE0CqkOc4q9oUmW1yo/edit?usp=sharing"",""นครสวรรค์!I514"")"),0)</f>
        <v>0</v>
      </c>
      <c r="J619" s="188">
        <f ca="1">IFERROR(__xludf.DUMMYFUNCTION("IMPORTRANGE(""https://docs.google.com/spreadsheets/d/11923uPwbBZFjjGgGUA6NLw09EwE0CqkOc4q9oUmW1yo/edit?usp=sharing"",""นครสวรรค์!J514"")"),0)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IFERROR(__xludf.DUMMYFUNCTION("IMPORTRANGE(""https://docs.google.com/spreadsheets/d/11923uPwbBZFjjGgGUA6NLw09EwE0CqkOc4q9oUmW1yo/edit?usp=sharing"",""นครสวรรค์!I515"")"),0)</f>
        <v>0</v>
      </c>
      <c r="J620" s="202">
        <f ca="1">IFERROR(__xludf.DUMMYFUNCTION("IMPORTRANGE(""https://docs.google.com/spreadsheets/d/11923uPwbBZFjjGgGUA6NLw09EwE0CqkOc4q9oUmW1yo/edit?usp=sharing"",""นครสวรรค์!J515"")"),0)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IFERROR(__xludf.DUMMYFUNCTION("IMPORTRANGE(""https://docs.google.com/spreadsheets/d/11923uPwbBZFjjGgGUA6NLw09EwE0CqkOc4q9oUmW1yo/edit?usp=sharing"",""นครสวรรค์!I516"")"),0)</f>
        <v>0</v>
      </c>
      <c r="J621" s="202">
        <f ca="1">IFERROR(__xludf.DUMMYFUNCTION("IMPORTRANGE(""https://docs.google.com/spreadsheets/d/11923uPwbBZFjjGgGUA6NLw09EwE0CqkOc4q9oUmW1yo/edit?usp=sharing"",""นครสวรรค์!J516"")"),0)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IFERROR(__xludf.DUMMYFUNCTION("IMPORTRANGE(""https://docs.google.com/spreadsheets/d/11923uPwbBZFjjGgGUA6NLw09EwE0CqkOc4q9oUmW1yo/edit?usp=sharing"",""นครสวรรค์!I517"")"),0)</f>
        <v>0</v>
      </c>
      <c r="J622" s="188">
        <f ca="1">IFERROR(__xludf.DUMMYFUNCTION("IMPORTRANGE(""https://docs.google.com/spreadsheets/d/11923uPwbBZFjjGgGUA6NLw09EwE0CqkOc4q9oUmW1yo/edit?usp=sharing"",""นครสวรรค์!J517"")"),0)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IFERROR(__xludf.DUMMYFUNCTION("IMPORTRANGE(""https://docs.google.com/spreadsheets/d/11923uPwbBZFjjGgGUA6NLw09EwE0CqkOc4q9oUmW1yo/edit?usp=sharing"",""นครสวรรค์!I518"")"),0)</f>
        <v>0</v>
      </c>
      <c r="J623" s="188">
        <f ca="1">IFERROR(__xludf.DUMMYFUNCTION("IMPORTRANGE(""https://docs.google.com/spreadsheets/d/11923uPwbBZFjjGgGUA6NLw09EwE0CqkOc4q9oUmW1yo/edit?usp=sharing"",""นครสวรรค์!J518"")"),0)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IFERROR(__xludf.DUMMYFUNCTION("IMPORTRANGE(""https://docs.google.com/spreadsheets/d/11923uPwbBZFjjGgGUA6NLw09EwE0CqkOc4q9oUmW1yo/edit?usp=sharing"",""นครสวรรค์!I519"")"),0)</f>
        <v>0</v>
      </c>
      <c r="J624" s="187">
        <f ca="1">IFERROR(__xludf.DUMMYFUNCTION("IMPORTRANGE(""https://docs.google.com/spreadsheets/d/11923uPwbBZFjjGgGUA6NLw09EwE0CqkOc4q9oUmW1yo/edit?usp=sharing"",""นครสวรรค์!J519"")"),0)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IFERROR(__xludf.DUMMYFUNCTION("IMPORTRANGE(""https://docs.google.com/spreadsheets/d/11923uPwbBZFjjGgGUA6NLw09EwE0CqkOc4q9oUmW1yo/edit?usp=sharing"",""นครสวรรค์!I520"")"),0)</f>
        <v>0</v>
      </c>
      <c r="J625" s="188">
        <f ca="1">IFERROR(__xludf.DUMMYFUNCTION("IMPORTRANGE(""https://docs.google.com/spreadsheets/d/11923uPwbBZFjjGgGUA6NLw09EwE0CqkOc4q9oUmW1yo/edit?usp=sharing"",""นครสวรรค์!J520"")"),0)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IFERROR(__xludf.DUMMYFUNCTION("IMPORTRANGE(""https://docs.google.com/spreadsheets/d/11923uPwbBZFjjGgGUA6NLw09EwE0CqkOc4q9oUmW1yo/edit?usp=sharing"",""นครสวรรค์!I521"")"),0)</f>
        <v>0</v>
      </c>
      <c r="J626" s="188">
        <f ca="1">IFERROR(__xludf.DUMMYFUNCTION("IMPORTRANGE(""https://docs.google.com/spreadsheets/d/11923uPwbBZFjjGgGUA6NLw09EwE0CqkOc4q9oUmW1yo/edit?usp=sharing"",""นครสวรรค์!J521"")"),0)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IFERROR(__xludf.DUMMYFUNCTION("IMPORTRANGE(""https://docs.google.com/spreadsheets/d/11923uPwbBZFjjGgGUA6NLw09EwE0CqkOc4q9oUmW1yo/edit?usp=sharing"",""นครสวรรค์!I523"")"),1200000)</f>
        <v>1200000</v>
      </c>
      <c r="J628" s="341">
        <f ca="1">IFERROR(__xludf.DUMMYFUNCTION("IMPORTRANGE(""https://docs.google.com/spreadsheets/d/11923uPwbBZFjjGgGUA6NLw09EwE0CqkOc4q9oUmW1yo/edit?usp=sharing"",""นครสวรรค์!J523"")"),1200000)</f>
        <v>1200000</v>
      </c>
      <c r="K628" s="342">
        <f t="shared" ref="K628:K635" ca="1" si="129">IF(I628&gt;0,J628*100/I628,0)</f>
        <v>100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IFERROR(__xludf.DUMMYFUNCTION("IMPORTRANGE(""https://docs.google.com/spreadsheets/d/11923uPwbBZFjjGgGUA6NLw09EwE0CqkOc4q9oUmW1yo/edit?usp=sharing"",""นครสวรรค์!I524"")"),60)</f>
        <v>60</v>
      </c>
      <c r="J629" s="341">
        <f ca="1">IFERROR(__xludf.DUMMYFUNCTION("IMPORTRANGE(""https://docs.google.com/spreadsheets/d/11923uPwbBZFjjGgGUA6NLw09EwE0CqkOc4q9oUmW1yo/edit?usp=sharing"",""นครสวรรค์!J524"")"),60)</f>
        <v>60</v>
      </c>
      <c r="K629" s="342">
        <f t="shared" ca="1" si="129"/>
        <v>100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41">
        <f ca="1">IFERROR(__xludf.DUMMYFUNCTION("IMPORTRANGE(""https://docs.google.com/spreadsheets/d/11923uPwbBZFjjGgGUA6NLw09EwE0CqkOc4q9oUmW1yo/edit?usp=sharing"",""นครสวรรค์!J525"")"),617124.23)</f>
        <v>617124.23</v>
      </c>
      <c r="K630" s="342">
        <f t="shared" ca="1" si="129"/>
        <v>12.378544513264503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IFERROR(__xludf.DUMMYFUNCTION("IMPORTRANGE(""https://docs.google.com/spreadsheets/d/11923uPwbBZFjjGgGUA6NLw09EwE0CqkOc4q9oUmW1yo/edit?usp=sharing"",""นครสวรรค์!I526"")"),266)</f>
        <v>266</v>
      </c>
      <c r="J631" s="341">
        <f ca="1">IFERROR(__xludf.DUMMYFUNCTION("IMPORTRANGE(""https://docs.google.com/spreadsheets/d/11923uPwbBZFjjGgGUA6NLw09EwE0CqkOc4q9oUmW1yo/edit?usp=sharing"",""นครสวรรค์!J526"")"),221)</f>
        <v>221</v>
      </c>
      <c r="K631" s="342">
        <f t="shared" ca="1" si="129"/>
        <v>83.082706766917298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41">
        <f ca="1">IFERROR(__xludf.DUMMYFUNCTION("IMPORTRANGE(""https://docs.google.com/spreadsheets/d/11923uPwbBZFjjGgGUA6NLw09EwE0CqkOc4q9oUmW1yo/edit?usp=sharing"",""นครสวรรค์!J527"")"),15039689.32)</f>
        <v>15039689.32</v>
      </c>
      <c r="K632" s="342">
        <f t="shared" ca="1" si="129"/>
        <v>29.270129531622302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IFERROR(__xludf.DUMMYFUNCTION("IMPORTRANGE(""https://docs.google.com/spreadsheets/d/11923uPwbBZFjjGgGUA6NLw09EwE0CqkOc4q9oUmW1yo/edit?usp=sharing"",""นครสวรรค์!I528"")"),4298)</f>
        <v>4298</v>
      </c>
      <c r="J633" s="341">
        <f ca="1">IFERROR(__xludf.DUMMYFUNCTION("IMPORTRANGE(""https://docs.google.com/spreadsheets/d/11923uPwbBZFjjGgGUA6NLw09EwE0CqkOc4q9oUmW1yo/edit?usp=sharing"",""นครสวรรค์!J528"")"),2313)</f>
        <v>2313</v>
      </c>
      <c r="K633" s="342">
        <f t="shared" ca="1" si="129"/>
        <v>53.815728245695674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IFERROR(__xludf.DUMMYFUNCTION("IMPORTRANGE(""https://docs.google.com/spreadsheets/d/11923uPwbBZFjjGgGUA6NLw09EwE0CqkOc4q9oUmW1yo/edit?usp=sharing"",""นครสวรรค์!I529"")"),1260000)</f>
        <v>1260000</v>
      </c>
      <c r="J634" s="341">
        <f ca="1">IFERROR(__xludf.DUMMYFUNCTION("IMPORTRANGE(""https://docs.google.com/spreadsheets/d/11923uPwbBZFjjGgGUA6NLw09EwE0CqkOc4q9oUmW1yo/edit?usp=sharing"",""นครสวรรค์!J529"")"),0)</f>
        <v>0</v>
      </c>
      <c r="K634" s="342">
        <f t="shared" ca="1" si="129"/>
        <v>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IFERROR(__xludf.DUMMYFUNCTION("IMPORTRANGE(""https://docs.google.com/spreadsheets/d/11923uPwbBZFjjGgGUA6NLw09EwE0CqkOc4q9oUmW1yo/edit?usp=sharing"",""นครสวรรค์!I530"")"),63)</f>
        <v>63</v>
      </c>
      <c r="J635" s="505">
        <f ca="1">IFERROR(__xludf.DUMMYFUNCTION("IMPORTRANGE(""https://docs.google.com/spreadsheets/d/11923uPwbBZFjjGgGUA6NLw09EwE0CqkOc4q9oUmW1yo/edit?usp=sharing"",""นครสวรรค์!J530"")"),0)</f>
        <v>0</v>
      </c>
      <c r="K635" s="487">
        <f t="shared" ca="1" si="129"/>
        <v>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138115</v>
      </c>
      <c r="M636" s="511"/>
      <c r="N636" s="510">
        <f ca="1">SUM(N637:N638)</f>
        <v>25250</v>
      </c>
      <c r="O636" s="510">
        <f t="shared" ref="O636:O640" ca="1" si="130">+IF(L636&gt;0,N636*100/L636,0)</f>
        <v>18.281866560474967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138115</v>
      </c>
      <c r="M638" s="521"/>
      <c r="N638" s="522">
        <f ca="1">SUM(N639:N640)</f>
        <v>25250</v>
      </c>
      <c r="O638" s="522">
        <f t="shared" ca="1" si="130"/>
        <v>18.281866560474967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138115</v>
      </c>
      <c r="M640" s="521"/>
      <c r="N640" s="522">
        <f ca="1">SUM(N641:N644)</f>
        <v>25250</v>
      </c>
      <c r="O640" s="522">
        <f t="shared" ca="1" si="130"/>
        <v>18.281866560474967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25250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IFERROR(__xludf.DUMMYFUNCTION("IMPORTRANGE(""https://docs.google.com/spreadsheets/d/11923uPwbBZFjjGgGUA6NLw09EwE0CqkOc4q9oUmW1yo/edit?usp=sharing"",""นครสวรรค์!J541"")"),0)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IFERROR(__xludf.DUMMYFUNCTION("IMPORTRANGE(""https://docs.google.com/spreadsheets/d/11923uPwbBZFjjGgGUA6NLw09EwE0CqkOc4q9oUmW1yo/edit?usp=sharing"",""นครสวรรค์!J542"")"),0)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IFERROR(__xludf.DUMMYFUNCTION("IMPORTRANGE(""https://docs.google.com/spreadsheets/d/11923uPwbBZFjjGgGUA6NLw09EwE0CqkOc4q9oUmW1yo/edit?usp=sharing"",""นครสวรรค์!I543"")"),85)</f>
        <v>85</v>
      </c>
      <c r="J648" s="536">
        <f ca="1">IFERROR(__xludf.DUMMYFUNCTION("IMPORTRANGE(""https://docs.google.com/spreadsheets/d/11923uPwbBZFjjGgGUA6NLw09EwE0CqkOc4q9oUmW1yo/edit?usp=sharing"",""นครสวรรค์!J543"")"),52.44)</f>
        <v>52.44</v>
      </c>
      <c r="K648" s="537">
        <f t="shared" ref="K648:K651" ca="1" si="131">IF(I648&gt;0,J648*100/I648,0)</f>
        <v>61.694117647058825</v>
      </c>
      <c r="L648" s="522">
        <f ca="1">IFERROR(__xludf.DUMMYFUNCTION("IMPORTRANGE(""https://docs.google.com/spreadsheets/d/11923uPwbBZFjjGgGUA6NLw09EwE0CqkOc4q9oUmW1yo/edit?usp=sharing"",""นครสวรรค์!L543"")"),6800)</f>
        <v>6800</v>
      </c>
      <c r="M648" s="521"/>
      <c r="N648" s="538">
        <f ca="1">IFERROR(__xludf.DUMMYFUNCTION("IMPORTRANGE(""https://docs.google.com/spreadsheets/d/11923uPwbBZFjjGgGUA6NLw09EwE0CqkOc4q9oUmW1yo/edit?usp=sharing"",""นครสวรรค์!M543"")"),0)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IFERROR(__xludf.DUMMYFUNCTION("IMPORTRANGE(""https://docs.google.com/spreadsheets/d/11923uPwbBZFjjGgGUA6NLw09EwE0CqkOc4q9oUmW1yo/edit?usp=sharing"",""นครสวรรค์!I544"")"),7)</f>
        <v>7</v>
      </c>
      <c r="J649" s="536">
        <f ca="1">IFERROR(__xludf.DUMMYFUNCTION("IMPORTRANGE(""https://docs.google.com/spreadsheets/d/11923uPwbBZFjjGgGUA6NLw09EwE0CqkOc4q9oUmW1yo/edit?usp=sharing"",""นครสวรรค์!J544"")"),0)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IFERROR(__xludf.DUMMYFUNCTION("IMPORTRANGE(""https://docs.google.com/spreadsheets/d/11923uPwbBZFjjGgGUA6NLw09EwE0CqkOc4q9oUmW1yo/edit?usp=sharing"",""นครสวรรค์!L544"")"),840)</f>
        <v>840</v>
      </c>
      <c r="M649" s="521"/>
      <c r="N649" s="538">
        <f ca="1">IFERROR(__xludf.DUMMYFUNCTION("IMPORTRANGE(""https://docs.google.com/spreadsheets/d/11923uPwbBZFjjGgGUA6NLw09EwE0CqkOc4q9oUmW1yo/edit?usp=sharing"",""นครสวรรค์!M544"")"),0)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IFERROR(__xludf.DUMMYFUNCTION("IMPORTRANGE(""https://docs.google.com/spreadsheets/d/11923uPwbBZFjjGgGUA6NLw09EwE0CqkOc4q9oUmW1yo/edit?usp=sharing"",""นครสวรรค์!I545"")"),1455)</f>
        <v>1455</v>
      </c>
      <c r="J650" s="536">
        <f ca="1">IFERROR(__xludf.DUMMYFUNCTION("IMPORTRANGE(""https://docs.google.com/spreadsheets/d/11923uPwbBZFjjGgGUA6NLw09EwE0CqkOc4q9oUmW1yo/edit?usp=sharing"",""นครสวรรค์!J545"")"),0)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IFERROR(__xludf.DUMMYFUNCTION("IMPORTRANGE(""https://docs.google.com/spreadsheets/d/11923uPwbBZFjjGgGUA6NLw09EwE0CqkOc4q9oUmW1yo/edit?usp=sharing"",""นครสวรรค์!L545"")"),7275)</f>
        <v>7275</v>
      </c>
      <c r="M650" s="521"/>
      <c r="N650" s="538">
        <f ca="1">IFERROR(__xludf.DUMMYFUNCTION("IMPORTRANGE(""https://docs.google.com/spreadsheets/d/11923uPwbBZFjjGgGUA6NLw09EwE0CqkOc4q9oUmW1yo/edit?usp=sharing"",""นครสวรรค์!M545"")"),0)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IFERROR(__xludf.DUMMYFUNCTION("IMPORTRANGE(""https://docs.google.com/spreadsheets/d/11923uPwbBZFjjGgGUA6NLw09EwE0CqkOc4q9oUmW1yo/edit?usp=sharing"",""นครสวรรค์!I546"")"),600)</f>
        <v>600</v>
      </c>
      <c r="J651" s="536">
        <f ca="1">J657+J660</f>
        <v>820</v>
      </c>
      <c r="K651" s="537">
        <f t="shared" ca="1" si="131"/>
        <v>136.66666666666666</v>
      </c>
      <c r="L651" s="522">
        <f ca="1">IFERROR(__xludf.DUMMYFUNCTION("IMPORTRANGE(""https://docs.google.com/spreadsheets/d/11923uPwbBZFjjGgGUA6NLw09EwE0CqkOc4q9oUmW1yo/edit?usp=sharing"",""นครสวรรค์!L546"")"),15000)</f>
        <v>15000</v>
      </c>
      <c r="M651" s="521"/>
      <c r="N651" s="538">
        <f ca="1">IFERROR(__xludf.DUMMYFUNCTION("IMPORTRANGE(""https://docs.google.com/spreadsheets/d/11923uPwbBZFjjGgGUA6NLw09EwE0CqkOc4q9oUmW1yo/edit?usp=sharing"",""นครสวรรค์!M546"")"),7400)</f>
        <v>7400</v>
      </c>
      <c r="O651" s="537">
        <f t="shared" ca="1" si="132"/>
        <v>49.333333333333336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IFERROR(__xludf.DUMMYFUNCTION("IMPORTRANGE(""https://docs.google.com/spreadsheets/d/11923uPwbBZFjjGgGUA6NLw09EwE0CqkOc4q9oUmW1yo/edit?usp=sharing"",""นครสวรรค์!J547"")"),34)</f>
        <v>34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IFERROR(__xludf.DUMMYFUNCTION("IMPORTRANGE(""https://docs.google.com/spreadsheets/d/11923uPwbBZFjjGgGUA6NLw09EwE0CqkOc4q9oUmW1yo/edit?usp=sharing"",""นครสวรรค์!J548"")"),820)</f>
        <v>820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IFERROR(__xludf.DUMMYFUNCTION("IMPORTRANGE(""https://docs.google.com/spreadsheets/d/11923uPwbBZFjjGgGUA6NLw09EwE0CqkOc4q9oUmW1yo/edit?usp=sharing"",""นครสวรรค์!J550"")"),38)</f>
        <v>38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IFERROR(__xludf.DUMMYFUNCTION("IMPORTRANGE(""https://docs.google.com/spreadsheets/d/11923uPwbBZFjjGgGUA6NLw09EwE0CqkOc4q9oUmW1yo/edit?usp=sharing"",""นครสวรรค์!J551"")"),40)</f>
        <v>40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IFERROR(__xludf.DUMMYFUNCTION("IMPORTRANGE(""https://docs.google.com/spreadsheets/d/11923uPwbBZFjjGgGUA6NLw09EwE0CqkOc4q9oUmW1yo/edit?usp=sharing"",""นครสวรรค์!J552"")"),820)</f>
        <v>820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IFERROR(__xludf.DUMMYFUNCTION("IMPORTRANGE(""https://docs.google.com/spreadsheets/d/11923uPwbBZFjjGgGUA6NLw09EwE0CqkOc4q9oUmW1yo/edit?usp=sharing"",""นครสวรรค์!J553"")"),0)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IFERROR(__xludf.DUMMYFUNCTION("IMPORTRANGE(""https://docs.google.com/spreadsheets/d/11923uPwbBZFjjGgGUA6NLw09EwE0CqkOc4q9oUmW1yo/edit?usp=sharing"",""นครสวรรค์!J554"")"),0)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IFERROR(__xludf.DUMMYFUNCTION("IMPORTRANGE(""https://docs.google.com/spreadsheets/d/11923uPwbBZFjjGgGUA6NLw09EwE0CqkOc4q9oUmW1yo/edit?usp=sharing"",""นครสวรรค์!J555"")"),0)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IFERROR(__xludf.DUMMYFUNCTION("IMPORTRANGE(""https://docs.google.com/spreadsheets/d/11923uPwbBZFjjGgGUA6NLw09EwE0CqkOc4q9oUmW1yo/edit?usp=sharing"",""นครสวรรค์!J556"")"),43)</f>
        <v>43</v>
      </c>
      <c r="K661" s="537"/>
      <c r="L661" s="522">
        <f ca="1">IFERROR(__xludf.DUMMYFUNCTION("IMPORTRANGE(""https://docs.google.com/spreadsheets/d/11923uPwbBZFjjGgGUA6NLw09EwE0CqkOc4q9oUmW1yo/edit?usp=sharing"",""นครสวรรค์!L556"")"),103400)</f>
        <v>103400</v>
      </c>
      <c r="M661" s="521"/>
      <c r="N661" s="538">
        <f ca="1">IFERROR(__xludf.DUMMYFUNCTION("IMPORTRANGE(""https://docs.google.com/spreadsheets/d/11923uPwbBZFjjGgGUA6NLw09EwE0CqkOc4q9oUmW1yo/edit?usp=sharing"",""นครสวรรค์!M556"")"),17850)</f>
        <v>17850</v>
      </c>
      <c r="O661" s="537">
        <f ca="1">IF(L661&gt;0,N661*100/L661,0)</f>
        <v>17.263056092843328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IFERROR(__xludf.DUMMYFUNCTION("IMPORTRANGE(""https://docs.google.com/spreadsheets/d/11923uPwbBZFjjGgGUA6NLw09EwE0CqkOc4q9oUmW1yo/edit?usp=sharing"",""นครสวรรค์!J557"")"),47)</f>
        <v>47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IFERROR(__xludf.DUMMYFUNCTION("IMPORTRANGE(""https://docs.google.com/spreadsheets/d/11923uPwbBZFjjGgGUA6NLw09EwE0CqkOc4q9oUmW1yo/edit?usp=sharing"",""นครสวรรค์!I558"")"),2585)</f>
        <v>2585</v>
      </c>
      <c r="J663" s="536">
        <f ca="1">IFERROR(__xludf.DUMMYFUNCTION("IMPORTRANGE(""https://docs.google.com/spreadsheets/d/11923uPwbBZFjjGgGUA6NLw09EwE0CqkOc4q9oUmW1yo/edit?usp=sharing"",""นครสวรรค์!J558"")"),860.17)</f>
        <v>860.17</v>
      </c>
      <c r="K663" s="537">
        <f ca="1">IF(I663&gt;0,J663*100/I663,0)</f>
        <v>33.27543520309478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IFERROR(__xludf.DUMMYFUNCTION("IMPORTRANGE(""https://docs.google.com/spreadsheets/d/11923uPwbBZFjjGgGUA6NLw09EwE0CqkOc4q9oUmW1yo/edit?usp=sharing"",""นครสวรรค์!I560"")"),40)</f>
        <v>40</v>
      </c>
      <c r="J665" s="536">
        <f ca="1">IFERROR(__xludf.DUMMYFUNCTION("IMPORTRANGE(""https://docs.google.com/spreadsheets/d/11923uPwbBZFjjGgGUA6NLw09EwE0CqkOc4q9oUmW1yo/edit?usp=sharing"",""นครสวรรค์!J560"")"),0)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IFERROR(__xludf.DUMMYFUNCTION("IMPORTRANGE(""https://docs.google.com/spreadsheets/d/11923uPwbBZFjjGgGUA6NLw09EwE0CqkOc4q9oUmW1yo/edit?usp=sharing"",""นครสวรรค์!L560"")"),4800)</f>
        <v>4800</v>
      </c>
      <c r="M665" s="521"/>
      <c r="N665" s="538">
        <f ca="1">IFERROR(__xludf.DUMMYFUNCTION("IMPORTRANGE(""https://docs.google.com/spreadsheets/d/11923uPwbBZFjjGgGUA6NLw09EwE0CqkOc4q9oUmW1yo/edit?usp=sharing"",""นครสวรรค์!M560"")"),0)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IFERROR(__xludf.DUMMYFUNCTION("IMPORTRANGE(""https://docs.google.com/spreadsheets/d/11923uPwbBZFjjGgGUA6NLw09EwE0CqkOc4q9oUmW1yo/edit?usp=sharing"",""นครสวรรค์!J561"")"),0)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IFERROR(__xludf.DUMMYFUNCTION("IMPORTRANGE(""https://docs.google.com/spreadsheets/d/11923uPwbBZFjjGgGUA6NLw09EwE0CqkOc4q9oUmW1yo/edit?usp=sharing"",""นครสวรรค์!J562"")"),0)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IFERROR(__xludf.DUMMYFUNCTION("IMPORTRANGE(""https://docs.google.com/spreadsheets/d/11923uPwbBZFjjGgGUA6NLw09EwE0CqkOc4q9oUmW1yo/edit?usp=sharing"",""นครสวรรค์!I563"")"),0)</f>
        <v>0</v>
      </c>
      <c r="J668" s="536">
        <f ca="1">IFERROR(__xludf.DUMMYFUNCTION("IMPORTRANGE(""https://docs.google.com/spreadsheets/d/11923uPwbBZFjjGgGUA6NLw09EwE0CqkOc4q9oUmW1yo/edit?usp=sharing"",""นครสวรรค์!J563"")"),0)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IFERROR(__xludf.DUMMYFUNCTION("IMPORTRANGE(""https://docs.google.com/spreadsheets/d/11923uPwbBZFjjGgGUA6NLw09EwE0CqkOc4q9oUmW1yo/edit?usp=sharing"",""นครสวรรค์!L563"")"),0)</f>
        <v>0</v>
      </c>
      <c r="M668" s="521"/>
      <c r="N668" s="538">
        <f ca="1">IFERROR(__xludf.DUMMYFUNCTION("IMPORTRANGE(""https://docs.google.com/spreadsheets/d/11923uPwbBZFjjGgGUA6NLw09EwE0CqkOc4q9oUmW1yo/edit?usp=sharing"",""นครสวรรค์!M563"")"),0)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IFERROR(__xludf.DUMMYFUNCTION("IMPORTRANGE(""https://docs.google.com/spreadsheets/d/11923uPwbBZFjjGgGUA6NLw09EwE0CqkOc4q9oUmW1yo/edit?usp=sharing"",""นครสวรรค์!J564"")"),0)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IFERROR(__xludf.DUMMYFUNCTION("IMPORTRANGE(""https://docs.google.com/spreadsheets/d/11923uPwbBZFjjGgGUA6NLw09EwE0CqkOc4q9oUmW1yo/edit?usp=sharing"",""นครสวรรค์!J565"")"),0)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IFERROR(__xludf.DUMMYFUNCTION("IMPORTRANGE(""https://docs.google.com/spreadsheets/d/11923uPwbBZFjjGgGUA6NLw09EwE0CqkOc4q9oUmW1yo/edit?usp=sharing"",""นครสวรรค์!I566"")"),0)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IFERROR(__xludf.DUMMYFUNCTION("IMPORTRANGE(""https://docs.google.com/spreadsheets/d/11923uPwbBZFjjGgGUA6NLw09EwE0CqkOc4q9oUmW1yo/edit?usp=sharing"",""นครสวรรค์!L566"")"),0)</f>
        <v>0</v>
      </c>
      <c r="M671" s="521"/>
      <c r="N671" s="538">
        <f ca="1">IFERROR(__xludf.DUMMYFUNCTION("IMPORTRANGE(""https://docs.google.com/spreadsheets/d/11923uPwbBZFjjGgGUA6NLw09EwE0CqkOc4q9oUmW1yo/edit?usp=sharing"",""นครสวรรค์!M566"")"),0)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IFERROR(__xludf.DUMMYFUNCTION("IMPORTRANGE(""https://docs.google.com/spreadsheets/d/11923uPwbBZFjjGgGUA6NLw09EwE0CqkOc4q9oUmW1yo/edit?usp=sharing"",""นครสวรรค์!J567"")"),0)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IFERROR(__xludf.DUMMYFUNCTION("IMPORTRANGE(""https://docs.google.com/spreadsheets/d/11923uPwbBZFjjGgGUA6NLw09EwE0CqkOc4q9oUmW1yo/edit?usp=sharing"",""นครสวรรค์!J568"")"),0)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IFERROR(__xludf.DUMMYFUNCTION("IMPORTRANGE(""https://docs.google.com/spreadsheets/d/11923uPwbBZFjjGgGUA6NLw09EwE0CqkOc4q9oUmW1yo/edit?usp=sharing"",""นครสวรรค์!J569"")"),0)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IFERROR(__xludf.DUMMYFUNCTION("IMPORTRANGE(""https://docs.google.com/spreadsheets/d/11923uPwbBZFjjGgGUA6NLw09EwE0CqkOc4q9oUmW1yo/edit?usp=sharing"",""นครสวรรค์!J570"")"),0)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IFERROR(__xludf.DUMMYFUNCTION("IMPORTRANGE(""https://docs.google.com/spreadsheets/d/11923uPwbBZFjjGgGUA6NLw09EwE0CqkOc4q9oUmW1yo/edit?usp=sharing"",""นครสวรรค์!J571"")"),0)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IFERROR(__xludf.DUMMYFUNCTION("IMPORTRANGE(""https://docs.google.com/spreadsheets/d/11923uPwbBZFjjGgGUA6NLw09EwE0CqkOc4q9oUmW1yo/edit?usp=sharing"",""นครสวรรค์!J572"")"),0)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3:P3"/>
    <mergeCell ref="A2:P2"/>
    <mergeCell ref="A1:P1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12930769</v>
      </c>
      <c r="M8" s="23">
        <f t="shared" ca="1" si="0"/>
        <v>10340584</v>
      </c>
      <c r="N8" s="23">
        <f t="shared" ca="1" si="0"/>
        <v>10150855.27</v>
      </c>
      <c r="O8" s="22">
        <f t="shared" ref="O8:O16" ca="1" si="1">IF(L8&gt;0,N8*100/L8,0)</f>
        <v>78.501559110676254</v>
      </c>
      <c r="P8" s="22">
        <f t="shared" ref="P8:P16" ca="1" si="2">IF(M8&gt;0,N8*100/M8,0)</f>
        <v>98.165202951786867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12930769</v>
      </c>
      <c r="M10" s="30">
        <f t="shared" ca="1" si="4"/>
        <v>10340584</v>
      </c>
      <c r="N10" s="30">
        <f t="shared" ca="1" si="4"/>
        <v>10150855.27</v>
      </c>
      <c r="O10" s="29">
        <f t="shared" ca="1" si="1"/>
        <v>78.501559110676254</v>
      </c>
      <c r="P10" s="29">
        <f t="shared" ca="1" si="2"/>
        <v>98.165202951786867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6440169</v>
      </c>
      <c r="M12" s="39">
        <f t="shared" ca="1" si="6"/>
        <v>3849984</v>
      </c>
      <c r="N12" s="39">
        <f t="shared" ca="1" si="6"/>
        <v>3660255.27</v>
      </c>
      <c r="O12" s="39">
        <f t="shared" ca="1" si="1"/>
        <v>56.834770485060254</v>
      </c>
      <c r="P12" s="39">
        <f t="shared" ca="1" si="2"/>
        <v>95.07196055879713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1874000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4566169</v>
      </c>
      <c r="M14" s="39">
        <f t="shared" si="8"/>
        <v>0</v>
      </c>
      <c r="N14" s="39">
        <f t="shared" ca="1" si="8"/>
        <v>873473</v>
      </c>
      <c r="O14" s="39">
        <f t="shared" ca="1" si="1"/>
        <v>19.129230652654336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6490600</v>
      </c>
      <c r="M16" s="39">
        <f t="shared" ca="1" si="10"/>
        <v>6490600</v>
      </c>
      <c r="N16" s="39">
        <f t="shared" ca="1" si="10"/>
        <v>6490600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10150675</v>
      </c>
      <c r="M18" s="23">
        <f t="shared" ca="1" si="11"/>
        <v>10340584</v>
      </c>
      <c r="N18" s="23">
        <f t="shared" ca="1" si="11"/>
        <v>9277382.2699999996</v>
      </c>
      <c r="O18" s="22">
        <f t="shared" ref="O18:O20" ca="1" si="12">IF(L18&gt;0,N18*100/L18,0)</f>
        <v>91.396702879365165</v>
      </c>
      <c r="P18" s="22">
        <f t="shared" ref="P18:P26" ca="1" si="13">IF(M18&gt;0,N18*100/M18,0)</f>
        <v>89.718165531076394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10150675</v>
      </c>
      <c r="M20" s="30">
        <f t="shared" ca="1" si="15"/>
        <v>10340584</v>
      </c>
      <c r="N20" s="30">
        <f t="shared" ca="1" si="15"/>
        <v>9277382.2699999996</v>
      </c>
      <c r="O20" s="29">
        <f t="shared" ca="1" si="12"/>
        <v>91.396702879365165</v>
      </c>
      <c r="P20" s="29">
        <f t="shared" ca="1" si="13"/>
        <v>89.718165531076394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3660075</v>
      </c>
      <c r="M22" s="42">
        <f t="shared" ca="1" si="18"/>
        <v>3849984</v>
      </c>
      <c r="N22" s="39">
        <f t="shared" ca="1" si="18"/>
        <v>2786782.27</v>
      </c>
      <c r="O22" s="39">
        <f t="shared" ca="1" si="17"/>
        <v>76.140031829948839</v>
      </c>
      <c r="P22" s="39">
        <f t="shared" ca="1" si="13"/>
        <v>72.384255882621844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1874000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1786075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6490600</v>
      </c>
      <c r="M26" s="50">
        <f t="shared" ca="1" si="22"/>
        <v>6490600</v>
      </c>
      <c r="N26" s="50">
        <f t="shared" ca="1" si="22"/>
        <v>6490600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2780094</v>
      </c>
      <c r="M28" s="23">
        <f t="shared" si="23"/>
        <v>0</v>
      </c>
      <c r="N28" s="23">
        <f t="shared" ca="1" si="23"/>
        <v>873473</v>
      </c>
      <c r="O28" s="22">
        <f t="shared" ref="O28:O30" ca="1" si="24">IF(L28&gt;0,N28*100/L28,0)</f>
        <v>31.418829723023755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2780094</v>
      </c>
      <c r="M30" s="30">
        <f t="shared" si="27"/>
        <v>0</v>
      </c>
      <c r="N30" s="30">
        <f t="shared" ca="1" si="27"/>
        <v>873473</v>
      </c>
      <c r="O30" s="29">
        <f t="shared" ca="1" si="24"/>
        <v>31.418829723023755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2780094</v>
      </c>
      <c r="M32" s="39">
        <f t="shared" si="30"/>
        <v>0</v>
      </c>
      <c r="N32" s="39">
        <f t="shared" ca="1" si="30"/>
        <v>873473</v>
      </c>
      <c r="O32" s="39">
        <f t="shared" ca="1" si="29"/>
        <v>31.418829723023755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2780094</v>
      </c>
      <c r="M34" s="39">
        <f t="shared" si="32"/>
        <v>0</v>
      </c>
      <c r="N34" s="39">
        <f t="shared" ca="1" si="32"/>
        <v>873473</v>
      </c>
      <c r="O34" s="39">
        <f t="shared" ca="1" si="29"/>
        <v>31.418829723023755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10150675</v>
      </c>
      <c r="M37" s="55">
        <f t="shared" ca="1" si="33"/>
        <v>10340584</v>
      </c>
      <c r="N37" s="55">
        <f t="shared" ca="1" si="33"/>
        <v>9277382.2699999996</v>
      </c>
      <c r="O37" s="56">
        <f t="shared" ca="1" si="29"/>
        <v>91.396702879365165</v>
      </c>
      <c r="P37" s="56">
        <f t="shared" ca="1" si="25"/>
        <v>89.718165531076394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6740500</v>
      </c>
      <c r="M41" s="79">
        <f t="shared" ca="1" si="34"/>
        <v>6740500</v>
      </c>
      <c r="N41" s="79">
        <f t="shared" ca="1" si="34"/>
        <v>6559699.8499999996</v>
      </c>
      <c r="O41" s="78">
        <f t="shared" ref="O41:O43" ca="1" si="35">IF(L41&gt;0,N41*100/L41,0)</f>
        <v>97.317704176248057</v>
      </c>
      <c r="P41" s="78">
        <f t="shared" ref="P41:P43" ca="1" si="36">IF(M41&gt;0,N41*100/M41,0)</f>
        <v>97.317704176248057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6740500</v>
      </c>
      <c r="M43" s="79">
        <f t="shared" ca="1" si="38"/>
        <v>6740500</v>
      </c>
      <c r="N43" s="79">
        <f t="shared" ca="1" si="38"/>
        <v>6559699.8499999996</v>
      </c>
      <c r="O43" s="78">
        <f t="shared" ca="1" si="35"/>
        <v>97.317704176248057</v>
      </c>
      <c r="P43" s="78">
        <f t="shared" ca="1" si="36"/>
        <v>97.317704176248057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740500</v>
      </c>
      <c r="M45" s="50">
        <f ca="1">IFERROR(__xludf.DUMMYFUNCTION("IMPORTRANGE(""https://docs.google.com/spreadsheets/d/1Yj_ptqi66GCucihVvJfMjLAmec39IyEx_6qawtMGysU/edit?usp=sharing"",""สบก!Q25"")"),740500)</f>
        <v>740500</v>
      </c>
      <c r="N45" s="50">
        <f ca="1">IFERROR(__xludf.DUMMYFUNCTION("IMPORTRANGE(""https://docs.google.com/spreadsheets/d/1Yj_ptqi66GCucihVvJfMjLAmec39IyEx_6qawtMGysU/edit?usp=sharing"",""สบก!R25"")"),559699.85)</f>
        <v>559699.85</v>
      </c>
      <c r="O45" s="39">
        <f ca="1">IF(L45&gt;0,N45*100/L45,0)</f>
        <v>75.584044564483463</v>
      </c>
      <c r="P45" s="39">
        <f ca="1">IF(M45&gt;0,N45*100/M45,0)</f>
        <v>75.584044564483463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IFERROR(__xludf.DUMMYFUNCTION("IMPORTRANGE(""https://docs.google.com/spreadsheets/d/1Yj_ptqi66GCucihVvJfMjLAmec39IyEx_6qawtMGysU/edit?usp=sharing"",""สบก!M25"")"),740500)</f>
        <v>740500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IFERROR(__xludf.DUMMYFUNCTION("IMPORTRANGE(""https://docs.google.com/spreadsheets/d/1Yj_ptqi66GCucihVvJfMjLAmec39IyEx_6qawtMGysU/edit?usp=sharing"",""สบก!N25"")"),0)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IFERROR(__xludf.DUMMYFUNCTION("IMPORTRANGE(""https://docs.google.com/spreadsheets/d/1Yj_ptqi66GCucihVvJfMjLAmec39IyEx_6qawtMGysU/edit?usp=sharing"",""สบก!O25"")"),6000000)</f>
        <v>6000000</v>
      </c>
      <c r="M49" s="50">
        <f ca="1">L49</f>
        <v>6000000</v>
      </c>
      <c r="N49" s="50">
        <f ca="1">IFERROR(__xludf.DUMMYFUNCTION("IMPORTRANGE(""https://docs.google.com/spreadsheets/d/1Yj_ptqi66GCucihVvJfMjLAmec39IyEx_6qawtMGysU/edit?usp=sharing"",""สบก!S25"")"),6000000)</f>
        <v>6000000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407139</v>
      </c>
      <c r="N53" s="121">
        <f t="shared" ca="1" si="39"/>
        <v>404038</v>
      </c>
      <c r="O53" s="120">
        <f t="shared" ref="O53:O55" ca="1" si="40">IF(L53&gt;0,N53*100/L53,0)</f>
        <v>101.0095</v>
      </c>
      <c r="P53" s="120">
        <f t="shared" ref="P53:P55" ca="1" si="41">IF(M53&gt;0,N53*100/M53,0)</f>
        <v>99.238343661501361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407139</v>
      </c>
      <c r="N55" s="121">
        <f t="shared" ca="1" si="43"/>
        <v>404038</v>
      </c>
      <c r="O55" s="120">
        <f t="shared" ca="1" si="40"/>
        <v>101.0095</v>
      </c>
      <c r="P55" s="120">
        <f t="shared" ca="1" si="41"/>
        <v>99.238343661501361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IFERROR(__xludf.DUMMYFUNCTION("IMPORTRANGE(""https://docs.google.com/spreadsheets/d/1Yj_ptqi66GCucihVvJfMjLAmec39IyEx_6qawtMGysU/edit?usp=sharing"",""สบก!Z25"")"),407139)</f>
        <v>407139</v>
      </c>
      <c r="N57" s="50">
        <f ca="1">IFERROR(__xludf.DUMMYFUNCTION("IMPORTRANGE(""https://docs.google.com/spreadsheets/d/1Yj_ptqi66GCucihVvJfMjLAmec39IyEx_6qawtMGysU/edit?usp=sharing"",""สบก!AA25"")"),404038)</f>
        <v>404038</v>
      </c>
      <c r="O57" s="39">
        <f ca="1">IF(L57&gt;0,N57*100/L57,0)</f>
        <v>101.0095</v>
      </c>
      <c r="P57" s="39">
        <f ca="1">IF(M57&gt;0,N57*100/M57,0)</f>
        <v>99.238343661501361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IFERROR(__xludf.DUMMYFUNCTION("IMPORTRANGE(""https://docs.google.com/spreadsheets/d/1Yj_ptqi66GCucihVvJfMjLAmec39IyEx_6qawtMGysU/edit?usp=sharing"",""สบก!V25"")"),400000)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IFERROR(__xludf.DUMMYFUNCTION("IMPORTRANGE(""https://docs.google.com/spreadsheets/d/1Yj_ptqi66GCucihVvJfMjLAmec39IyEx_6qawtMGysU/edit?usp=sharing"",""สบก!W25"")"),0)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IFERROR(__xludf.DUMMYFUNCTION("IMPORTRANGE(""https://docs.google.com/spreadsheets/d/1Yj_ptqi66GCucihVvJfMjLAmec39IyEx_6qawtMGysU/edit?usp=sharing"",""สบก!X25"")"),0)</f>
        <v>0</v>
      </c>
      <c r="M61" s="50"/>
      <c r="N61" s="50">
        <f ca="1">IFERROR(__xludf.DUMMYFUNCTION("IMPORTRANGE(""https://docs.google.com/spreadsheets/d/1Yj_ptqi66GCucihVvJfMjLAmec39IyEx_6qawtMGysU/edit?usp=sharing"",""สบก!AB25"")"),0)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IFERROR(__xludf.DUMMYFUNCTION("IMPORTRANGE(""https://docs.google.com/spreadsheets/d/11923uPwbBZFjjGgGUA6NLw09EwE0CqkOc4q9oUmW1yo/edit?usp=sharing"",""น่าน!I9"")"),1)</f>
        <v>1</v>
      </c>
      <c r="J64" s="142">
        <f ca="1">IFERROR(__xludf.DUMMYFUNCTION("IMPORTRANGE(""https://docs.google.com/spreadsheets/d/11923uPwbBZFjjGgGUA6NLw09EwE0CqkOc4q9oUmW1yo/edit?usp=sharing"",""น่าน!J9"")"),1)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IFERROR(__xludf.DUMMYFUNCTION("IMPORTRANGE(""https://docs.google.com/spreadsheets/d/11923uPwbBZFjjGgGUA6NLw09EwE0CqkOc4q9oUmW1yo/edit?usp=sharing"",""น่าน!I10"")"),63)</f>
        <v>63</v>
      </c>
      <c r="J65" s="142">
        <f ca="1">IFERROR(__xludf.DUMMYFUNCTION("IMPORTRANGE(""https://docs.google.com/spreadsheets/d/11923uPwbBZFjjGgGUA6NLw09EwE0CqkOc4q9oUmW1yo/edit?usp=sharing"",""น่าน!J10"")"),63)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937200</v>
      </c>
      <c r="M66" s="152">
        <f t="shared" ca="1" si="45"/>
        <v>963820</v>
      </c>
      <c r="N66" s="152">
        <f t="shared" ca="1" si="45"/>
        <v>844923.9</v>
      </c>
      <c r="O66" s="151">
        <f t="shared" ref="O66:O68" ca="1" si="46">IF(L66&gt;0,N66*100/L66,0)</f>
        <v>90.154065300896292</v>
      </c>
      <c r="P66" s="151">
        <f t="shared" ref="P66:P68" ca="1" si="47">IF(M66&gt;0,N66*100/M66,0)</f>
        <v>87.664076279803282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937200</v>
      </c>
      <c r="M68" s="88">
        <f t="shared" ca="1" si="49"/>
        <v>963820</v>
      </c>
      <c r="N68" s="88">
        <f t="shared" ca="1" si="49"/>
        <v>844923.9</v>
      </c>
      <c r="O68" s="156">
        <f t="shared" ca="1" si="46"/>
        <v>90.154065300896292</v>
      </c>
      <c r="P68" s="156">
        <f t="shared" ca="1" si="47"/>
        <v>87.664076279803282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553600</v>
      </c>
      <c r="M70" s="167">
        <f ca="1">IFERROR(__xludf.DUMMYFUNCTION("IMPORTRANGE(""https://docs.google.com/spreadsheets/d/1Yj_ptqi66GCucihVvJfMjLAmec39IyEx_6qawtMGysU/edit?usp=sharing"",""สบก!AI25"")"),580220)</f>
        <v>580220</v>
      </c>
      <c r="N70" s="168">
        <f ca="1">IFERROR(__xludf.DUMMYFUNCTION("IMPORTRANGE(""https://docs.google.com/spreadsheets/d/1Yj_ptqi66GCucihVvJfMjLAmec39IyEx_6qawtMGysU/edit?usp=sharing"",""สบก!AJ25"")"),461323.9)</f>
        <v>461323.9</v>
      </c>
      <c r="O70" s="168">
        <f ca="1">IF(L70&gt;0,N70*100/L70,0)</f>
        <v>83.331629335260118</v>
      </c>
      <c r="P70" s="168">
        <f ca="1">IF(M70&gt;0,N70*100/M70,0)</f>
        <v>79.508445072558686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IFERROR(__xludf.DUMMYFUNCTION("IMPORTRANGE(""https://docs.google.com/spreadsheets/d/1Yj_ptqi66GCucihVvJfMjLAmec39IyEx_6qawtMGysU/edit?usp=sharing"",""สบก!AE25"")"),0)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IFERROR(__xludf.DUMMYFUNCTION("IMPORTRANGE(""https://docs.google.com/spreadsheets/d/1Yj_ptqi66GCucihVvJfMjLAmec39IyEx_6qawtMGysU/edit?usp=sharing"",""สบก!AF25"")"),553600)</f>
        <v>553600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IFERROR(__xludf.DUMMYFUNCTION("IMPORTRANGE(""https://docs.google.com/spreadsheets/d/1Yj_ptqi66GCucihVvJfMjLAmec39IyEx_6qawtMGysU/edit?usp=sharing"",""สบก!AG25"")"),383600)</f>
        <v>383600</v>
      </c>
      <c r="M74" s="50">
        <f ca="1">L74</f>
        <v>383600</v>
      </c>
      <c r="N74" s="50">
        <f ca="1">IFERROR(__xludf.DUMMYFUNCTION("IMPORTRANGE(""https://docs.google.com/spreadsheets/d/1Yj_ptqi66GCucihVvJfMjLAmec39IyEx_6qawtMGysU/edit?usp=sharing"",""สบก!AK25"")"),383600)</f>
        <v>383600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IFERROR(__xludf.DUMMYFUNCTION("IMPORTRANGE(""https://docs.google.com/spreadsheets/d/11923uPwbBZFjjGgGUA6NLw09EwE0CqkOc4q9oUmW1yo/edit?usp=sharing"",""น่าน!J16"")"),0)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IFERROR(__xludf.DUMMYFUNCTION("IMPORTRANGE(""https://docs.google.com/spreadsheets/d/11923uPwbBZFjjGgGUA6NLw09EwE0CqkOc4q9oUmW1yo/edit?usp=sharing"",""น่าน!J17"")"),1)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IFERROR(__xludf.DUMMYFUNCTION("IMPORTRANGE(""https://docs.google.com/spreadsheets/d/11923uPwbBZFjjGgGUA6NLw09EwE0CqkOc4q9oUmW1yo/edit?usp=sharing"",""น่าน!J18"")"),1)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IFERROR(__xludf.DUMMYFUNCTION("IMPORTRANGE(""https://docs.google.com/spreadsheets/d/11923uPwbBZFjjGgGUA6NLw09EwE0CqkOc4q9oUmW1yo/edit?usp=sharing"",""น่าน!J19"")"),1)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IFERROR(__xludf.DUMMYFUNCTION("IMPORTRANGE(""https://docs.google.com/spreadsheets/d/11923uPwbBZFjjGgGUA6NLw09EwE0CqkOc4q9oUmW1yo/edit?usp=sharing"",""น่าน!I20"")"),1)</f>
        <v>1</v>
      </c>
      <c r="J80" s="200">
        <f ca="1">IFERROR(__xludf.DUMMYFUNCTION("IMPORTRANGE(""https://docs.google.com/spreadsheets/d/11923uPwbBZFjjGgGUA6NLw09EwE0CqkOc4q9oUmW1yo/edit?usp=sharing"",""น่าน!J20"")"),1)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IFERROR(__xludf.DUMMYFUNCTION("IMPORTRANGE(""https://docs.google.com/spreadsheets/d/11923uPwbBZFjjGgGUA6NLw09EwE0CqkOc4q9oUmW1yo/edit?usp=sharing"",""น่าน!I21"")"),63)</f>
        <v>63</v>
      </c>
      <c r="J81" s="200">
        <f ca="1">IFERROR(__xludf.DUMMYFUNCTION("IMPORTRANGE(""https://docs.google.com/spreadsheets/d/11923uPwbBZFjjGgGUA6NLw09EwE0CqkOc4q9oUmW1yo/edit?usp=sharing"",""น่าน!J21"")"),63)</f>
        <v>63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IFERROR(__xludf.DUMMYFUNCTION("IMPORTRANGE(""https://docs.google.com/spreadsheets/d/11923uPwbBZFjjGgGUA6NLw09EwE0CqkOc4q9oUmW1yo/edit?usp=sharing"",""น่าน!I22"")"),0)</f>
        <v>0</v>
      </c>
      <c r="J82" s="203">
        <f ca="1">IFERROR(__xludf.DUMMYFUNCTION("IMPORTRANGE(""https://docs.google.com/spreadsheets/d/11923uPwbBZFjjGgGUA6NLw09EwE0CqkOc4q9oUmW1yo/edit?usp=sharing"",""น่าน!J22"")"),0)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IFERROR(__xludf.DUMMYFUNCTION("IMPORTRANGE(""https://docs.google.com/spreadsheets/d/11923uPwbBZFjjGgGUA6NLw09EwE0CqkOc4q9oUmW1yo/edit?usp=sharing"",""น่าน!I23"")"),0)</f>
        <v>0</v>
      </c>
      <c r="J83" s="203">
        <f ca="1">IFERROR(__xludf.DUMMYFUNCTION("IMPORTRANGE(""https://docs.google.com/spreadsheets/d/11923uPwbBZFjjGgGUA6NLw09EwE0CqkOc4q9oUmW1yo/edit?usp=sharing"",""น่าน!J23"")"),0)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IFERROR(__xludf.DUMMYFUNCTION("IMPORTRANGE(""https://docs.google.com/spreadsheets/d/11923uPwbBZFjjGgGUA6NLw09EwE0CqkOc4q9oUmW1yo/edit?usp=sharing"",""น่าน!I24"")"),0)</f>
        <v>0</v>
      </c>
      <c r="J84" s="188">
        <f ca="1">IFERROR(__xludf.DUMMYFUNCTION("IMPORTRANGE(""https://docs.google.com/spreadsheets/d/11923uPwbBZFjjGgGUA6NLw09EwE0CqkOc4q9oUmW1yo/edit?usp=sharing"",""น่าน!J24"")"),0)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IFERROR(__xludf.DUMMYFUNCTION("IMPORTRANGE(""https://docs.google.com/spreadsheets/d/11923uPwbBZFjjGgGUA6NLw09EwE0CqkOc4q9oUmW1yo/edit?usp=sharing"",""น่าน!I25"")"),0)</f>
        <v>0</v>
      </c>
      <c r="J85" s="188">
        <f ca="1">IFERROR(__xludf.DUMMYFUNCTION("IMPORTRANGE(""https://docs.google.com/spreadsheets/d/11923uPwbBZFjjGgGUA6NLw09EwE0CqkOc4q9oUmW1yo/edit?usp=sharing"",""น่าน!J25"")"),0)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IFERROR(__xludf.DUMMYFUNCTION("IMPORTRANGE(""https://docs.google.com/spreadsheets/d/11923uPwbBZFjjGgGUA6NLw09EwE0CqkOc4q9oUmW1yo/edit?usp=sharing"",""น่าน!I26"")"),1)</f>
        <v>1</v>
      </c>
      <c r="J86" s="203">
        <f ca="1">IFERROR(__xludf.DUMMYFUNCTION("IMPORTRANGE(""https://docs.google.com/spreadsheets/d/11923uPwbBZFjjGgGUA6NLw09EwE0CqkOc4q9oUmW1yo/edit?usp=sharing"",""น่าน!J26"")"),1)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IFERROR(__xludf.DUMMYFUNCTION("IMPORTRANGE(""https://docs.google.com/spreadsheets/d/11923uPwbBZFjjGgGUA6NLw09EwE0CqkOc4q9oUmW1yo/edit?usp=sharing"",""น่าน!I27"")"),63)</f>
        <v>63</v>
      </c>
      <c r="J87" s="203">
        <f ca="1">IFERROR(__xludf.DUMMYFUNCTION("IMPORTRANGE(""https://docs.google.com/spreadsheets/d/11923uPwbBZFjjGgGUA6NLw09EwE0CqkOc4q9oUmW1yo/edit?usp=sharing"",""น่าน!J27"")"),63)</f>
        <v>63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IFERROR(__xludf.DUMMYFUNCTION("IMPORTRANGE(""https://docs.google.com/spreadsheets/d/11923uPwbBZFjjGgGUA6NLw09EwE0CqkOc4q9oUmW1yo/edit?usp=sharing"",""น่าน!I28"")"),1)</f>
        <v>1</v>
      </c>
      <c r="J88" s="203">
        <f ca="1">IFERROR(__xludf.DUMMYFUNCTION("IMPORTRANGE(""https://docs.google.com/spreadsheets/d/11923uPwbBZFjjGgGUA6NLw09EwE0CqkOc4q9oUmW1yo/edit?usp=sharing"",""น่าน!J28"")"),1)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IFERROR(__xludf.DUMMYFUNCTION("IMPORTRANGE(""https://docs.google.com/spreadsheets/d/11923uPwbBZFjjGgGUA6NLw09EwE0CqkOc4q9oUmW1yo/edit?usp=sharing"",""น่าน!J29"")"),0)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IFERROR(__xludf.DUMMYFUNCTION("IMPORTRANGE(""https://docs.google.com/spreadsheets/d/11923uPwbBZFjjGgGUA6NLw09EwE0CqkOc4q9oUmW1yo/edit?usp=sharing"",""น่าน!J30"")"),0)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IFERROR(__xludf.DUMMYFUNCTION("IMPORTRANGE(""https://docs.google.com/spreadsheets/d/11923uPwbBZFjjGgGUA6NLw09EwE0CqkOc4q9oUmW1yo/edit?usp=sharing"",""น่าน!I32"")"),4)</f>
        <v>4</v>
      </c>
      <c r="J92" s="142">
        <f ca="1">IFERROR(__xludf.DUMMYFUNCTION("IMPORTRANGE(""https://docs.google.com/spreadsheets/d/11923uPwbBZFjjGgGUA6NLw09EwE0CqkOc4q9oUmW1yo/edit?usp=sharing"",""น่าน!J32"")"),4)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IFERROR(__xludf.DUMMYFUNCTION("IMPORTRANGE(""https://docs.google.com/spreadsheets/d/11923uPwbBZFjjGgGUA6NLw09EwE0CqkOc4q9oUmW1yo/edit?usp=sharing"",""น่าน!I33"")"),1)</f>
        <v>1</v>
      </c>
      <c r="J93" s="142">
        <f ca="1">IFERROR(__xludf.DUMMYFUNCTION("IMPORTRANGE(""https://docs.google.com/spreadsheets/d/11923uPwbBZFjjGgGUA6NLw09EwE0CqkOc4q9oUmW1yo/edit?usp=sharing"",""น่าน!J33"")"),1)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261100</v>
      </c>
      <c r="N94" s="152">
        <f t="shared" ca="1" si="52"/>
        <v>190597</v>
      </c>
      <c r="O94" s="151">
        <f t="shared" ref="O94:O96" ca="1" si="53">IF(L94&gt;0,N94*100/L94,0)</f>
        <v>89.022419430172818</v>
      </c>
      <c r="P94" s="151">
        <f t="shared" ref="P94:P96" ca="1" si="54">IF(M94&gt;0,N94*100/M94,0)</f>
        <v>72.997702029873608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214100</v>
      </c>
      <c r="M96" s="88">
        <f t="shared" ca="1" si="56"/>
        <v>261100</v>
      </c>
      <c r="N96" s="88">
        <f t="shared" ca="1" si="56"/>
        <v>190597</v>
      </c>
      <c r="O96" s="156">
        <f t="shared" ca="1" si="53"/>
        <v>89.022419430172818</v>
      </c>
      <c r="P96" s="156">
        <f t="shared" ca="1" si="54"/>
        <v>72.997702029873608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IFERROR(__xludf.DUMMYFUNCTION("IMPORTRANGE(""https://docs.google.com/spreadsheets/d/1Yj_ptqi66GCucihVvJfMjLAmec39IyEx_6qawtMGysU/edit?usp=sharing"",""สบก!AR25"")"),169100)</f>
        <v>169100</v>
      </c>
      <c r="N98" s="168">
        <f ca="1">IFERROR(__xludf.DUMMYFUNCTION("IMPORTRANGE(""https://docs.google.com/spreadsheets/d/1Yj_ptqi66GCucihVvJfMjLAmec39IyEx_6qawtMGysU/edit?usp=sharing"",""สบก!AS25"")"),98597)</f>
        <v>98597</v>
      </c>
      <c r="O98" s="168">
        <f ca="1">IF(L98&gt;0,N98*100/L98,0)</f>
        <v>80.751023751023752</v>
      </c>
      <c r="P98" s="168">
        <f ca="1">IF(M98&gt;0,N98*100/M98,0)</f>
        <v>58.306918982850384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IFERROR(__xludf.DUMMYFUNCTION("IMPORTRANGE(""https://docs.google.com/spreadsheets/d/1Yj_ptqi66GCucihVvJfMjLAmec39IyEx_6qawtMGysU/edit?usp=sharing"",""สบก!AN25"")"),0)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IFERROR(__xludf.DUMMYFUNCTION("IMPORTRANGE(""https://docs.google.com/spreadsheets/d/1Yj_ptqi66GCucihVvJfMjLAmec39IyEx_6qawtMGysU/edit?usp=sharing"",""สบก!AO25"")"),122100)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IFERROR(__xludf.DUMMYFUNCTION("IMPORTRANGE(""https://docs.google.com/spreadsheets/d/1Yj_ptqi66GCucihVvJfMjLAmec39IyEx_6qawtMGysU/edit?usp=sharing"",""สบก!AP25"")"),92000)</f>
        <v>92000</v>
      </c>
      <c r="M102" s="50">
        <f ca="1">L102</f>
        <v>92000</v>
      </c>
      <c r="N102" s="50">
        <f ca="1">IFERROR(__xludf.DUMMYFUNCTION("IMPORTRANGE(""https://docs.google.com/spreadsheets/d/1Yj_ptqi66GCucihVvJfMjLAmec39IyEx_6qawtMGysU/edit?usp=sharing"",""สบก!AT25"")"),92000)</f>
        <v>92000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IFERROR(__xludf.DUMMYFUNCTION("IMPORTRANGE(""https://docs.google.com/spreadsheets/d/11923uPwbBZFjjGgGUA6NLw09EwE0CqkOc4q9oUmW1yo/edit?usp=sharing"",""น่าน!J39"")"),0)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IFERROR(__xludf.DUMMYFUNCTION("IMPORTRANGE(""https://docs.google.com/spreadsheets/d/11923uPwbBZFjjGgGUA6NLw09EwE0CqkOc4q9oUmW1yo/edit?usp=sharing"",""น่าน!J40"")"),1)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IFERROR(__xludf.DUMMYFUNCTION("IMPORTRANGE(""https://docs.google.com/spreadsheets/d/11923uPwbBZFjjGgGUA6NLw09EwE0CqkOc4q9oUmW1yo/edit?usp=sharing"",""น่าน!J41"")"),1)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IFERROR(__xludf.DUMMYFUNCTION("IMPORTRANGE(""https://docs.google.com/spreadsheets/d/11923uPwbBZFjjGgGUA6NLw09EwE0CqkOc4q9oUmW1yo/edit?usp=sharing"",""น่าน!J42"")"),1)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IFERROR(__xludf.DUMMYFUNCTION("IMPORTRANGE(""https://docs.google.com/spreadsheets/d/11923uPwbBZFjjGgGUA6NLw09EwE0CqkOc4q9oUmW1yo/edit?usp=sharing"",""น่าน!I43"")"),1)</f>
        <v>1</v>
      </c>
      <c r="J108" s="203">
        <f ca="1">IFERROR(__xludf.DUMMYFUNCTION("IMPORTRANGE(""https://docs.google.com/spreadsheets/d/11923uPwbBZFjjGgGUA6NLw09EwE0CqkOc4q9oUmW1yo/edit?usp=sharing"",""น่าน!J43"")"),1)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IFERROR(__xludf.DUMMYFUNCTION("IMPORTRANGE(""https://docs.google.com/spreadsheets/d/11923uPwbBZFjjGgGUA6NLw09EwE0CqkOc4q9oUmW1yo/edit?usp=sharing"",""น่าน!I44"")"),4)</f>
        <v>4</v>
      </c>
      <c r="J109" s="203">
        <f ca="1">IFERROR(__xludf.DUMMYFUNCTION("IMPORTRANGE(""https://docs.google.com/spreadsheets/d/11923uPwbBZFjjGgGUA6NLw09EwE0CqkOc4q9oUmW1yo/edit?usp=sharing"",""น่าน!J44"")"),4)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IFERROR(__xludf.DUMMYFUNCTION("IMPORTRANGE(""https://docs.google.com/spreadsheets/d/11923uPwbBZFjjGgGUA6NLw09EwE0CqkOc4q9oUmW1yo/edit?usp=sharing"",""น่าน!I45"")"),4)</f>
        <v>4</v>
      </c>
      <c r="J110" s="203">
        <f ca="1">IFERROR(__xludf.DUMMYFUNCTION("IMPORTRANGE(""https://docs.google.com/spreadsheets/d/11923uPwbBZFjjGgGUA6NLw09EwE0CqkOc4q9oUmW1yo/edit?usp=sharing"",""น่าน!J45"")"),4)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IFERROR(__xludf.DUMMYFUNCTION("IMPORTRANGE(""https://docs.google.com/spreadsheets/d/11923uPwbBZFjjGgGUA6NLw09EwE0CqkOc4q9oUmW1yo/edit?usp=sharing"",""น่าน!I46"")"),4)</f>
        <v>4</v>
      </c>
      <c r="J111" s="203">
        <f ca="1">IFERROR(__xludf.DUMMYFUNCTION("IMPORTRANGE(""https://docs.google.com/spreadsheets/d/11923uPwbBZFjjGgGUA6NLw09EwE0CqkOc4q9oUmW1yo/edit?usp=sharing"",""น่าน!J46"")"),4)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IFERROR(__xludf.DUMMYFUNCTION("IMPORTRANGE(""https://docs.google.com/spreadsheets/d/11923uPwbBZFjjGgGUA6NLw09EwE0CqkOc4q9oUmW1yo/edit?usp=sharing"",""น่าน!I47"")"),4)</f>
        <v>4</v>
      </c>
      <c r="J112" s="203">
        <f ca="1">IFERROR(__xludf.DUMMYFUNCTION("IMPORTRANGE(""https://docs.google.com/spreadsheets/d/11923uPwbBZFjjGgGUA6NLw09EwE0CqkOc4q9oUmW1yo/edit?usp=sharing"",""น่าน!J47"")"),4)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IFERROR(__xludf.DUMMYFUNCTION("IMPORTRANGE(""https://docs.google.com/spreadsheets/d/11923uPwbBZFjjGgGUA6NLw09EwE0CqkOc4q9oUmW1yo/edit?usp=sharing"",""น่าน!I48"")"),1)</f>
        <v>1</v>
      </c>
      <c r="J113" s="203">
        <f ca="1">IFERROR(__xludf.DUMMYFUNCTION("IMPORTRANGE(""https://docs.google.com/spreadsheets/d/11923uPwbBZFjjGgGUA6NLw09EwE0CqkOc4q9oUmW1yo/edit?usp=sharing"",""น่าน!J48"")"),1)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IFERROR(__xludf.DUMMYFUNCTION("IMPORTRANGE(""https://docs.google.com/spreadsheets/d/11923uPwbBZFjjGgGUA6NLw09EwE0CqkOc4q9oUmW1yo/edit?usp=sharing"",""น่าน!J49"")"),0)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IFERROR(__xludf.DUMMYFUNCTION("IMPORTRANGE(""https://docs.google.com/spreadsheets/d/11923uPwbBZFjjGgGUA6NLw09EwE0CqkOc4q9oUmW1yo/edit?usp=sharing"",""น่าน!J50"")"),0)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IFERROR(__xludf.DUMMYFUNCTION("IMPORTRANGE(""https://docs.google.com/spreadsheets/d/11923uPwbBZFjjGgGUA6NLw09EwE0CqkOc4q9oUmW1yo/edit?usp=sharing"",""น่าน!I52"")"),0)</f>
        <v>0</v>
      </c>
      <c r="J117" s="142">
        <f ca="1">IFERROR(__xludf.DUMMYFUNCTION("IMPORTRANGE(""https://docs.google.com/spreadsheets/d/11923uPwbBZFjjGgGUA6NLw09EwE0CqkOc4q9oUmW1yo/edit?usp=sharing"",""น่าน!J52"")"),0)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IFERROR(__xludf.DUMMYFUNCTION("IMPORTRANGE(""https://docs.google.com/spreadsheets/d/1Yj_ptqi66GCucihVvJfMjLAmec39IyEx_6qawtMGysU/edit?usp=sharing"",""สบก!BA25"")"),0)</f>
        <v>0</v>
      </c>
      <c r="N122" s="168">
        <f ca="1">IFERROR(__xludf.DUMMYFUNCTION("IMPORTRANGE(""https://docs.google.com/spreadsheets/d/1Yj_ptqi66GCucihVvJfMjLAmec39IyEx_6qawtMGysU/edit?usp=sharing"",""สบก!BB25"")"),0)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IFERROR(__xludf.DUMMYFUNCTION("IMPORTRANGE(""https://docs.google.com/spreadsheets/d/1Yj_ptqi66GCucihVvJfMjLAmec39IyEx_6qawtMGysU/edit?usp=sharing"",""สบก!AW25"")"),0)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IFERROR(__xludf.DUMMYFUNCTION("IMPORTRANGE(""https://docs.google.com/spreadsheets/d/1Yj_ptqi66GCucihVvJfMjLAmec39IyEx_6qawtMGysU/edit?usp=sharing"",""สบก!AX25"")"),0)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IFERROR(__xludf.DUMMYFUNCTION("IMPORTRANGE(""https://docs.google.com/spreadsheets/d/1Yj_ptqi66GCucihVvJfMjLAmec39IyEx_6qawtMGysU/edit?usp=sharing"",""สบก!AY25"")"),0)</f>
        <v>0</v>
      </c>
      <c r="M126" s="50"/>
      <c r="N126" s="50">
        <f ca="1">IFERROR(__xludf.DUMMYFUNCTION("IMPORTRANGE(""https://docs.google.com/spreadsheets/d/1Yj_ptqi66GCucihVvJfMjLAmec39IyEx_6qawtMGysU/edit?usp=sharing"",""สบก!BC25"")"),0)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IFERROR(__xludf.DUMMYFUNCTION("IMPORTRANGE(""https://docs.google.com/spreadsheets/d/11923uPwbBZFjjGgGUA6NLw09EwE0CqkOc4q9oUmW1yo/edit?usp=sharing"",""น่าน!J58"")"),0)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IFERROR(__xludf.DUMMYFUNCTION("IMPORTRANGE(""https://docs.google.com/spreadsheets/d/11923uPwbBZFjjGgGUA6NLw09EwE0CqkOc4q9oUmW1yo/edit?usp=sharing"",""น่าน!J59"")"),0)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IFERROR(__xludf.DUMMYFUNCTION("IMPORTRANGE(""https://docs.google.com/spreadsheets/d/11923uPwbBZFjjGgGUA6NLw09EwE0CqkOc4q9oUmW1yo/edit?usp=sharing"",""น่าน!J60"")"),0)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IFERROR(__xludf.DUMMYFUNCTION("IMPORTRANGE(""https://docs.google.com/spreadsheets/d/11923uPwbBZFjjGgGUA6NLw09EwE0CqkOc4q9oUmW1yo/edit?usp=sharing"",""น่าน!J61"")"),0)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IFERROR(__xludf.DUMMYFUNCTION("IMPORTRANGE(""https://docs.google.com/spreadsheets/d/11923uPwbBZFjjGgGUA6NLw09EwE0CqkOc4q9oUmW1yo/edit?usp=sharing"",""น่าน!I62"")"),0)</f>
        <v>0</v>
      </c>
      <c r="J132" s="203">
        <f ca="1">IFERROR(__xludf.DUMMYFUNCTION("IMPORTRANGE(""https://docs.google.com/spreadsheets/d/11923uPwbBZFjjGgGUA6NLw09EwE0CqkOc4q9oUmW1yo/edit?usp=sharing"",""น่าน!J62"")"),0)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IFERROR(__xludf.DUMMYFUNCTION("IMPORTRANGE(""https://docs.google.com/spreadsheets/d/11923uPwbBZFjjGgGUA6NLw09EwE0CqkOc4q9oUmW1yo/edit?usp=sharing"",""น่าน!I63"")"),0)</f>
        <v>0</v>
      </c>
      <c r="J133" s="203">
        <f ca="1">IFERROR(__xludf.DUMMYFUNCTION("IMPORTRANGE(""https://docs.google.com/spreadsheets/d/11923uPwbBZFjjGgGUA6NLw09EwE0CqkOc4q9oUmW1yo/edit?usp=sharing"",""น่าน!J63"")"),0)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IFERROR(__xludf.DUMMYFUNCTION("IMPORTRANGE(""https://docs.google.com/spreadsheets/d/11923uPwbBZFjjGgGUA6NLw09EwE0CqkOc4q9oUmW1yo/edit?usp=sharing"",""น่าน!J64"")"),0)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IFERROR(__xludf.DUMMYFUNCTION("IMPORTRANGE(""https://docs.google.com/spreadsheets/d/11923uPwbBZFjjGgGUA6NLw09EwE0CqkOc4q9oUmW1yo/edit?usp=sharing"",""น่าน!J65"")"),0)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IFERROR(__xludf.DUMMYFUNCTION("IMPORTRANGE(""https://docs.google.com/spreadsheets/d/11923uPwbBZFjjGgGUA6NLw09EwE0CqkOc4q9oUmW1yo/edit?usp=sharing"",""น่าน!I68"")"),90)</f>
        <v>90</v>
      </c>
      <c r="J138" s="267">
        <f ca="1">IFERROR(__xludf.DUMMYFUNCTION("IMPORTRANGE(""https://docs.google.com/spreadsheets/d/11923uPwbBZFjjGgGUA6NLw09EwE0CqkOc4q9oUmW1yo/edit?usp=sharing"",""น่าน!J68"")"),90)</f>
        <v>90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815200</v>
      </c>
      <c r="M140" s="152">
        <f t="shared" ca="1" si="64"/>
        <v>949250</v>
      </c>
      <c r="N140" s="152">
        <f t="shared" ca="1" si="64"/>
        <v>615268.52</v>
      </c>
      <c r="O140" s="151">
        <f t="shared" ref="O140:O142" ca="1" si="65">IF(L140&gt;0,N140*100/L140,0)</f>
        <v>75.474548577036316</v>
      </c>
      <c r="P140" s="151">
        <f t="shared" ref="P140:P142" ca="1" si="66">IF(M140&gt;0,N140*100/M140,0)</f>
        <v>64.816278114300758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815200</v>
      </c>
      <c r="M142" s="88">
        <f t="shared" ca="1" si="68"/>
        <v>949250</v>
      </c>
      <c r="N142" s="88">
        <f t="shared" ca="1" si="68"/>
        <v>615268.52</v>
      </c>
      <c r="O142" s="156">
        <f t="shared" ca="1" si="65"/>
        <v>75.474548577036316</v>
      </c>
      <c r="P142" s="156">
        <f t="shared" ca="1" si="66"/>
        <v>64.816278114300758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815200</v>
      </c>
      <c r="M144" s="167">
        <f ca="1">IFERROR(__xludf.DUMMYFUNCTION("IMPORTRANGE(""https://docs.google.com/spreadsheets/d/1Yj_ptqi66GCucihVvJfMjLAmec39IyEx_6qawtMGysU/edit?usp=sharing"",""สบก!BJ25"")"),949250)</f>
        <v>949250</v>
      </c>
      <c r="N144" s="168">
        <f ca="1">IFERROR(__xludf.DUMMYFUNCTION("IMPORTRANGE(""https://docs.google.com/spreadsheets/d/1Yj_ptqi66GCucihVvJfMjLAmec39IyEx_6qawtMGysU/edit?usp=sharing"",""สบก!BK25"")"),615268.52)</f>
        <v>615268.52</v>
      </c>
      <c r="O144" s="168">
        <f ca="1">IF(L144&gt;0,N144*100/L144,0)</f>
        <v>75.474548577036316</v>
      </c>
      <c r="P144" s="168">
        <f ca="1">IF(M144&gt;0,N144*100/M144,0)</f>
        <v>64.816278114300758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IFERROR(__xludf.DUMMYFUNCTION("IMPORTRANGE(""https://docs.google.com/spreadsheets/d/1Yj_ptqi66GCucihVvJfMjLAmec39IyEx_6qawtMGysU/edit?usp=sharing"",""สบก!BF25"")"),315900)</f>
        <v>315900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IFERROR(__xludf.DUMMYFUNCTION("IMPORTRANGE(""https://docs.google.com/spreadsheets/d/1Yj_ptqi66GCucihVvJfMjLAmec39IyEx_6qawtMGysU/edit?usp=sharing"",""สบก!BG25"")"),499300)</f>
        <v>499300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IFERROR(__xludf.DUMMYFUNCTION("IMPORTRANGE(""https://docs.google.com/spreadsheets/d/1Yj_ptqi66GCucihVvJfMjLAmec39IyEx_6qawtMGysU/edit?usp=sharing"",""สบก!BH25"")"),0)</f>
        <v>0</v>
      </c>
      <c r="M148" s="50"/>
      <c r="N148" s="50">
        <f ca="1">IFERROR(__xludf.DUMMYFUNCTION("IMPORTRANGE(""https://docs.google.com/spreadsheets/d/1Yj_ptqi66GCucihVvJfMjLAmec39IyEx_6qawtMGysU/edit?usp=sharing"",""สบก!BL25"")"),0)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IFERROR(__xludf.DUMMYFUNCTION("IMPORTRANGE(""https://docs.google.com/spreadsheets/d/11923uPwbBZFjjGgGUA6NLw09EwE0CqkOc4q9oUmW1yo/edit?usp=sharing"",""น่าน!I74"")"),4)</f>
        <v>4</v>
      </c>
      <c r="J149" s="275">
        <f ca="1">IFERROR(__xludf.DUMMYFUNCTION("IMPORTRANGE(""https://docs.google.com/spreadsheets/d/11923uPwbBZFjjGgGUA6NLw09EwE0CqkOc4q9oUmW1yo/edit?usp=sharing"",""น่าน!J74"")"),3)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IFERROR(__xludf.DUMMYFUNCTION("IMPORTRANGE(""https://docs.google.com/spreadsheets/d/11923uPwbBZFjjGgGUA6NLw09EwE0CqkOc4q9oUmW1yo/edit?usp=sharing"",""น่าน!J79"")"),0)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IFERROR(__xludf.DUMMYFUNCTION("IMPORTRANGE(""https://docs.google.com/spreadsheets/d/11923uPwbBZFjjGgGUA6NLw09EwE0CqkOc4q9oUmW1yo/edit?usp=sharing"",""น่าน!J80"")"),1)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IFERROR(__xludf.DUMMYFUNCTION("IMPORTRANGE(""https://docs.google.com/spreadsheets/d/11923uPwbBZFjjGgGUA6NLw09EwE0CqkOc4q9oUmW1yo/edit?usp=sharing"",""น่าน!J81"")"),1)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IFERROR(__xludf.DUMMYFUNCTION("IMPORTRANGE(""https://docs.google.com/spreadsheets/d/11923uPwbBZFjjGgGUA6NLw09EwE0CqkOc4q9oUmW1yo/edit?usp=sharing"",""น่าน!J82"")"),1)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IFERROR(__xludf.DUMMYFUNCTION("IMPORTRANGE(""https://docs.google.com/spreadsheets/d/11923uPwbBZFjjGgGUA6NLw09EwE0CqkOc4q9oUmW1yo/edit?usp=sharing"",""น่าน!I83"")"),4)</f>
        <v>4</v>
      </c>
      <c r="J158" s="188">
        <f ca="1">IFERROR(__xludf.DUMMYFUNCTION("IMPORTRANGE(""https://docs.google.com/spreadsheets/d/11923uPwbBZFjjGgGUA6NLw09EwE0CqkOc4q9oUmW1yo/edit?usp=sharing"",""น่าน!J83"")"),3)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IFERROR(__xludf.DUMMYFUNCTION("IMPORTRANGE(""https://docs.google.com/spreadsheets/d/11923uPwbBZFjjGgGUA6NLw09EwE0CqkOc4q9oUmW1yo/edit?usp=sharing"",""น่าน!J84"")"),197)</f>
        <v>197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IFERROR(__xludf.DUMMYFUNCTION("IMPORTRANGE(""https://docs.google.com/spreadsheets/d/11923uPwbBZFjjGgGUA6NLw09EwE0CqkOc4q9oUmW1yo/edit?usp=sharing"",""น่าน!J85"")"),197)</f>
        <v>197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IFERROR(__xludf.DUMMYFUNCTION("IMPORTRANGE(""https://docs.google.com/spreadsheets/d/11923uPwbBZFjjGgGUA6NLw09EwE0CqkOc4q9oUmW1yo/edit?usp=sharing"",""น่าน!J86"")"),0)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IFERROR(__xludf.DUMMYFUNCTION("IMPORTRANGE(""https://docs.google.com/spreadsheets/d/11923uPwbBZFjjGgGUA6NLw09EwE0CqkOc4q9oUmW1yo/edit?usp=sharing"",""น่าน!J87"")"),0)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IFERROR(__xludf.DUMMYFUNCTION("IMPORTRANGE(""https://docs.google.com/spreadsheets/d/11923uPwbBZFjjGgGUA6NLw09EwE0CqkOc4q9oUmW1yo/edit?usp=sharing"",""น่าน!J88"")"),0)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IFERROR(__xludf.DUMMYFUNCTION("IMPORTRANGE(""https://docs.google.com/spreadsheets/d/11923uPwbBZFjjGgGUA6NLw09EwE0CqkOc4q9oUmW1yo/edit?usp=sharing"",""น่าน!I89"")"),4)</f>
        <v>4</v>
      </c>
      <c r="J164" s="284">
        <f ca="1">IFERROR(__xludf.DUMMYFUNCTION("IMPORTRANGE(""https://docs.google.com/spreadsheets/d/11923uPwbBZFjjGgGUA6NLw09EwE0CqkOc4q9oUmW1yo/edit?usp=sharing"",""น่าน!J89"")"),4)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IFERROR(__xludf.DUMMYFUNCTION("IMPORTRANGE(""https://docs.google.com/spreadsheets/d/11923uPwbBZFjjGgGUA6NLw09EwE0CqkOc4q9oUmW1yo/edit?usp=sharing"",""น่าน!J94"")"),0)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IFERROR(__xludf.DUMMYFUNCTION("IMPORTRANGE(""https://docs.google.com/spreadsheets/d/11923uPwbBZFjjGgGUA6NLw09EwE0CqkOc4q9oUmW1yo/edit?usp=sharing"",""น่าน!J95"")"),1)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IFERROR(__xludf.DUMMYFUNCTION("IMPORTRANGE(""https://docs.google.com/spreadsheets/d/11923uPwbBZFjjGgGUA6NLw09EwE0CqkOc4q9oUmW1yo/edit?usp=sharing"",""น่าน!J96"")"),1)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IFERROR(__xludf.DUMMYFUNCTION("IMPORTRANGE(""https://docs.google.com/spreadsheets/d/11923uPwbBZFjjGgGUA6NLw09EwE0CqkOc4q9oUmW1yo/edit?usp=sharing"",""น่าน!J97"")"),1)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IFERROR(__xludf.DUMMYFUNCTION("IMPORTRANGE(""https://docs.google.com/spreadsheets/d/11923uPwbBZFjjGgGUA6NLw09EwE0CqkOc4q9oUmW1yo/edit?usp=sharing"",""น่าน!I98"")"),4)</f>
        <v>4</v>
      </c>
      <c r="J173" s="188">
        <f ca="1">IFERROR(__xludf.DUMMYFUNCTION("IMPORTRANGE(""https://docs.google.com/spreadsheets/d/11923uPwbBZFjjGgGUA6NLw09EwE0CqkOc4q9oUmW1yo/edit?usp=sharing"",""น่าน!J98"")"),4)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IFERROR(__xludf.DUMMYFUNCTION("IMPORTRANGE(""https://docs.google.com/spreadsheets/d/11923uPwbBZFjjGgGUA6NLw09EwE0CqkOc4q9oUmW1yo/edit?usp=sharing"",""น่าน!J99"")"),0)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IFERROR(__xludf.DUMMYFUNCTION("IMPORTRANGE(""https://docs.google.com/spreadsheets/d/11923uPwbBZFjjGgGUA6NLw09EwE0CqkOc4q9oUmW1yo/edit?usp=sharing"",""น่าน!J100"")"),0)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IFERROR(__xludf.DUMMYFUNCTION("IMPORTRANGE(""https://docs.google.com/spreadsheets/d/11923uPwbBZFjjGgGUA6NLw09EwE0CqkOc4q9oUmW1yo/edit?usp=sharing"",""น่าน!I101"")"),0)</f>
        <v>0</v>
      </c>
      <c r="J176" s="284">
        <f ca="1">IFERROR(__xludf.DUMMYFUNCTION("IMPORTRANGE(""https://docs.google.com/spreadsheets/d/11923uPwbBZFjjGgGUA6NLw09EwE0CqkOc4q9oUmW1yo/edit?usp=sharing"",""น่าน!J101"")"),0)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IFERROR(__xludf.DUMMYFUNCTION("IMPORTRANGE(""https://docs.google.com/spreadsheets/d/11923uPwbBZFjjGgGUA6NLw09EwE0CqkOc4q9oUmW1yo/edit?usp=sharing"",""น่าน!J106"")"),0)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IFERROR(__xludf.DUMMYFUNCTION("IMPORTRANGE(""https://docs.google.com/spreadsheets/d/11923uPwbBZFjjGgGUA6NLw09EwE0CqkOc4q9oUmW1yo/edit?usp=sharing"",""น่าน!J107"")"),0)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IFERROR(__xludf.DUMMYFUNCTION("IMPORTRANGE(""https://docs.google.com/spreadsheets/d/11923uPwbBZFjjGgGUA6NLw09EwE0CqkOc4q9oUmW1yo/edit?usp=sharing"",""น่าน!J108"")"),0)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IFERROR(__xludf.DUMMYFUNCTION("IMPORTRANGE(""https://docs.google.com/spreadsheets/d/11923uPwbBZFjjGgGUA6NLw09EwE0CqkOc4q9oUmW1yo/edit?usp=sharing"",""น่าน!J109"")"),0)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IFERROR(__xludf.DUMMYFUNCTION("IMPORTRANGE(""https://docs.google.com/spreadsheets/d/11923uPwbBZFjjGgGUA6NLw09EwE0CqkOc4q9oUmW1yo/edit?usp=sharing"",""น่าน!I110"")"),0)</f>
        <v>0</v>
      </c>
      <c r="J185" s="203">
        <f ca="1">IFERROR(__xludf.DUMMYFUNCTION("IMPORTRANGE(""https://docs.google.com/spreadsheets/d/11923uPwbBZFjjGgGUA6NLw09EwE0CqkOc4q9oUmW1yo/edit?usp=sharing"",""น่าน!J110"")"),0)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IFERROR(__xludf.DUMMYFUNCTION("IMPORTRANGE(""https://docs.google.com/spreadsheets/d/11923uPwbBZFjjGgGUA6NLw09EwE0CqkOc4q9oUmW1yo/edit?usp=sharing"",""น่าน!I111"")"),0)</f>
        <v>0</v>
      </c>
      <c r="J186" s="203">
        <f ca="1">IFERROR(__xludf.DUMMYFUNCTION("IMPORTRANGE(""https://docs.google.com/spreadsheets/d/11923uPwbBZFjjGgGUA6NLw09EwE0CqkOc4q9oUmW1yo/edit?usp=sharing"",""น่าน!J111"")"),0)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IFERROR(__xludf.DUMMYFUNCTION("IMPORTRANGE(""https://docs.google.com/spreadsheets/d/11923uPwbBZFjjGgGUA6NLw09EwE0CqkOc4q9oUmW1yo/edit?usp=sharing"",""น่าน!J112"")"),0)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IFERROR(__xludf.DUMMYFUNCTION("IMPORTRANGE(""https://docs.google.com/spreadsheets/d/11923uPwbBZFjjGgGUA6NLw09EwE0CqkOc4q9oUmW1yo/edit?usp=sharing"",""น่าน!J113"")"),0)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IFERROR(__xludf.DUMMYFUNCTION("IMPORTRANGE(""https://docs.google.com/spreadsheets/d/11923uPwbBZFjjGgGUA6NLw09EwE0CqkOc4q9oUmW1yo/edit?usp=sharing"",""น่าน!I114"")"),50000)</f>
        <v>50000</v>
      </c>
      <c r="J189" s="284">
        <f ca="1">IFERROR(__xludf.DUMMYFUNCTION("IMPORTRANGE(""https://docs.google.com/spreadsheets/d/11923uPwbBZFjjGgGUA6NLw09EwE0CqkOc4q9oUmW1yo/edit?usp=sharing"",""น่าน!J114"")"),0)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IFERROR(__xludf.DUMMYFUNCTION("IMPORTRANGE(""https://docs.google.com/spreadsheets/d/11923uPwbBZFjjGgGUA6NLw09EwE0CqkOc4q9oUmW1yo/edit?usp=sharing"",""น่าน!J119"")"),1)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IFERROR(__xludf.DUMMYFUNCTION("IMPORTRANGE(""https://docs.google.com/spreadsheets/d/11923uPwbBZFjjGgGUA6NLw09EwE0CqkOc4q9oUmW1yo/edit?usp=sharing"",""น่าน!J120"")"),0)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IFERROR(__xludf.DUMMYFUNCTION("IMPORTRANGE(""https://docs.google.com/spreadsheets/d/11923uPwbBZFjjGgGUA6NLw09EwE0CqkOc4q9oUmW1yo/edit?usp=sharing"",""น่าน!J121"")"),0)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IFERROR(__xludf.DUMMYFUNCTION("IMPORTRANGE(""https://docs.google.com/spreadsheets/d/11923uPwbBZFjjGgGUA6NLw09EwE0CqkOc4q9oUmW1yo/edit?usp=sharing"",""น่าน!J122"")"),0)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IFERROR(__xludf.DUMMYFUNCTION("IMPORTRANGE(""https://docs.google.com/spreadsheets/d/11923uPwbBZFjjGgGUA6NLw09EwE0CqkOc4q9oUmW1yo/edit?usp=sharing"",""น่าน!I124"")"),50000)</f>
        <v>50000</v>
      </c>
      <c r="J199" s="188">
        <f ca="1">IFERROR(__xludf.DUMMYFUNCTION("IMPORTRANGE(""https://docs.google.com/spreadsheets/d/11923uPwbBZFjjGgGUA6NLw09EwE0CqkOc4q9oUmW1yo/edit?usp=sharing"",""น่าน!J124"")"),0)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IFERROR(__xludf.DUMMYFUNCTION("IMPORTRANGE(""https://docs.google.com/spreadsheets/d/11923uPwbBZFjjGgGUA6NLw09EwE0CqkOc4q9oUmW1yo/edit?usp=sharing"",""น่าน!I125"")"),50000)</f>
        <v>50000</v>
      </c>
      <c r="J200" s="188">
        <f ca="1">IFERROR(__xludf.DUMMYFUNCTION("IMPORTRANGE(""https://docs.google.com/spreadsheets/d/11923uPwbBZFjjGgGUA6NLw09EwE0CqkOc4q9oUmW1yo/edit?usp=sharing"",""น่าน!J125"")"),0)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IFERROR(__xludf.DUMMYFUNCTION("IMPORTRANGE(""https://docs.google.com/spreadsheets/d/11923uPwbBZFjjGgGUA6NLw09EwE0CqkOc4q9oUmW1yo/edit?usp=sharing"",""น่าน!I126"")"),0)</f>
        <v>0</v>
      </c>
      <c r="J201" s="188">
        <f ca="1">IFERROR(__xludf.DUMMYFUNCTION("IMPORTRANGE(""https://docs.google.com/spreadsheets/d/11923uPwbBZFjjGgGUA6NLw09EwE0CqkOc4q9oUmW1yo/edit?usp=sharing"",""น่าน!J126"")"),0)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IFERROR(__xludf.DUMMYFUNCTION("IMPORTRANGE(""https://docs.google.com/spreadsheets/d/11923uPwbBZFjjGgGUA6NLw09EwE0CqkOc4q9oUmW1yo/edit?usp=sharing"",""น่าน!J127"")"),0)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IFERROR(__xludf.DUMMYFUNCTION("IMPORTRANGE(""https://docs.google.com/spreadsheets/d/11923uPwbBZFjjGgGUA6NLw09EwE0CqkOc4q9oUmW1yo/edit?usp=sharing"",""น่าน!J128"")"),0)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IFERROR(__xludf.DUMMYFUNCTION("IMPORTRANGE(""https://docs.google.com/spreadsheets/d/11923uPwbBZFjjGgGUA6NLw09EwE0CqkOc4q9oUmW1yo/edit?usp=sharing"",""น่าน!I129"")"),90)</f>
        <v>90</v>
      </c>
      <c r="J204" s="284">
        <f ca="1">IFERROR(__xludf.DUMMYFUNCTION("IMPORTRANGE(""https://docs.google.com/spreadsheets/d/11923uPwbBZFjjGgGUA6NLw09EwE0CqkOc4q9oUmW1yo/edit?usp=sharing"",""น่าน!J129"")"),90)</f>
        <v>90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IFERROR(__xludf.DUMMYFUNCTION("IMPORTRANGE(""https://docs.google.com/spreadsheets/d/11923uPwbBZFjjGgGUA6NLw09EwE0CqkOc4q9oUmW1yo/edit?usp=sharing"",""น่าน!J134"")"),0)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IFERROR(__xludf.DUMMYFUNCTION("IMPORTRANGE(""https://docs.google.com/spreadsheets/d/11923uPwbBZFjjGgGUA6NLw09EwE0CqkOc4q9oUmW1yo/edit?usp=sharing"",""น่าน!J135"")"),1)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IFERROR(__xludf.DUMMYFUNCTION("IMPORTRANGE(""https://docs.google.com/spreadsheets/d/11923uPwbBZFjjGgGUA6NLw09EwE0CqkOc4q9oUmW1yo/edit?usp=sharing"",""น่าน!J136"")"),1)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IFERROR(__xludf.DUMMYFUNCTION("IMPORTRANGE(""https://docs.google.com/spreadsheets/d/11923uPwbBZFjjGgGUA6NLw09EwE0CqkOc4q9oUmW1yo/edit?usp=sharing"",""น่าน!J137"")"),1)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IFERROR(__xludf.DUMMYFUNCTION("IMPORTRANGE(""https://docs.google.com/spreadsheets/d/11923uPwbBZFjjGgGUA6NLw09EwE0CqkOc4q9oUmW1yo/edit?usp=sharing"",""น่าน!I138"")"),90)</f>
        <v>90</v>
      </c>
      <c r="J213" s="203">
        <f ca="1">IFERROR(__xludf.DUMMYFUNCTION("IMPORTRANGE(""https://docs.google.com/spreadsheets/d/11923uPwbBZFjjGgGUA6NLw09EwE0CqkOc4q9oUmW1yo/edit?usp=sharing"",""น่าน!J138"")"),90)</f>
        <v>90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IFERROR(__xludf.DUMMYFUNCTION("IMPORTRANGE(""https://docs.google.com/spreadsheets/d/11923uPwbBZFjjGgGUA6NLw09EwE0CqkOc4q9oUmW1yo/edit?usp=sharing"",""น่าน!I140"")"),90)</f>
        <v>90</v>
      </c>
      <c r="J215" s="203">
        <f ca="1">IFERROR(__xludf.DUMMYFUNCTION("IMPORTRANGE(""https://docs.google.com/spreadsheets/d/11923uPwbBZFjjGgGUA6NLw09EwE0CqkOc4q9oUmW1yo/edit?usp=sharing"",""น่าน!J140"")"),90)</f>
        <v>90</v>
      </c>
      <c r="K215" s="224">
        <f t="shared" ref="K215:K216" ca="1" si="71">IF(I215&gt;0,J215*100/I215,0)</f>
        <v>100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IFERROR(__xludf.DUMMYFUNCTION("IMPORTRANGE(""https://docs.google.com/spreadsheets/d/11923uPwbBZFjjGgGUA6NLw09EwE0CqkOc4q9oUmW1yo/edit?usp=sharing"",""น่าน!I141"")"),4)</f>
        <v>4</v>
      </c>
      <c r="J216" s="203">
        <f ca="1">IFERROR(__xludf.DUMMYFUNCTION("IMPORTRANGE(""https://docs.google.com/spreadsheets/d/11923uPwbBZFjjGgGUA6NLw09EwE0CqkOc4q9oUmW1yo/edit?usp=sharing"",""น่าน!J141"")"),4)</f>
        <v>4</v>
      </c>
      <c r="K216" s="224">
        <f t="shared" ca="1" si="71"/>
        <v>100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IFERROR(__xludf.DUMMYFUNCTION("IMPORTRANGE(""https://docs.google.com/spreadsheets/d/11923uPwbBZFjjGgGUA6NLw09EwE0CqkOc4q9oUmW1yo/edit?usp=sharing"",""น่าน!J142"")"),0)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IFERROR(__xludf.DUMMYFUNCTION("IMPORTRANGE(""https://docs.google.com/spreadsheets/d/11923uPwbBZFjjGgGUA6NLw09EwE0CqkOc4q9oUmW1yo/edit?usp=sharing"",""น่าน!J143"")"),0)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IFERROR(__xludf.DUMMYFUNCTION("IMPORTRANGE(""https://docs.google.com/spreadsheets/d/11923uPwbBZFjjGgGUA6NLw09EwE0CqkOc4q9oUmW1yo/edit?usp=sharing"",""น่าน!I144"")"),15)</f>
        <v>15</v>
      </c>
      <c r="J219" s="267">
        <f ca="1">IFERROR(__xludf.DUMMYFUNCTION("IMPORTRANGE(""https://docs.google.com/spreadsheets/d/11923uPwbBZFjjGgGUA6NLw09EwE0CqkOc4q9oUmW1yo/edit?usp=sharing"",""น่าน!J144"")"),15)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IFERROR(__xludf.DUMMYFUNCTION("IMPORTRANGE(""https://docs.google.com/spreadsheets/d/1Yj_ptqi66GCucihVvJfMjLAmec39IyEx_6qawtMGysU/edit?usp=sharing"",""สบก!BS25"")"),21125)</f>
        <v>21125</v>
      </c>
      <c r="N224" s="168">
        <f ca="1">IFERROR(__xludf.DUMMYFUNCTION("IMPORTRANGE(""https://docs.google.com/spreadsheets/d/1Yj_ptqi66GCucihVvJfMjLAmec39IyEx_6qawtMGysU/edit?usp=sharing"",""สบก!BT25"")"),21125)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IFERROR(__xludf.DUMMYFUNCTION("IMPORTRANGE(""https://docs.google.com/spreadsheets/d/1Yj_ptqi66GCucihVvJfMjLAmec39IyEx_6qawtMGysU/edit?usp=sharing"",""สบก!BO25"")"),0)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IFERROR(__xludf.DUMMYFUNCTION("IMPORTRANGE(""https://docs.google.com/spreadsheets/d/1Yj_ptqi66GCucihVvJfMjLAmec39IyEx_6qawtMGysU/edit?usp=sharing"",""สบก!BP25"")"),21125)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IFERROR(__xludf.DUMMYFUNCTION("IMPORTRANGE(""https://docs.google.com/spreadsheets/d/1Yj_ptqi66GCucihVvJfMjLAmec39IyEx_6qawtMGysU/edit?usp=sharing"",""สบก!BQ25"")"),0)</f>
        <v>0</v>
      </c>
      <c r="M228" s="50"/>
      <c r="N228" s="50">
        <f ca="1">IFERROR(__xludf.DUMMYFUNCTION("IMPORTRANGE(""https://docs.google.com/spreadsheets/d/1Yj_ptqi66GCucihVvJfMjLAmec39IyEx_6qawtMGysU/edit?usp=sharing"",""สบก!BU25"")"),0)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IFERROR(__xludf.DUMMYFUNCTION("IMPORTRANGE(""https://docs.google.com/spreadsheets/d/11923uPwbBZFjjGgGUA6NLw09EwE0CqkOc4q9oUmW1yo/edit?usp=sharing"",""น่าน!I149"")"),15)</f>
        <v>15</v>
      </c>
      <c r="J229" s="267">
        <f ca="1">IFERROR(__xludf.DUMMYFUNCTION("IMPORTRANGE(""https://docs.google.com/spreadsheets/d/11923uPwbBZFjjGgGUA6NLw09EwE0CqkOc4q9oUmW1yo/edit?usp=sharing"",""น่าน!J149"")"),15)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IFERROR(__xludf.DUMMYFUNCTION("IMPORTRANGE(""https://docs.google.com/spreadsheets/d/11923uPwbBZFjjGgGUA6NLw09EwE0CqkOc4q9oUmW1yo/edit?usp=sharing"",""น่าน!J151"")"),0)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IFERROR(__xludf.DUMMYFUNCTION("IMPORTRANGE(""https://docs.google.com/spreadsheets/d/11923uPwbBZFjjGgGUA6NLw09EwE0CqkOc4q9oUmW1yo/edit?usp=sharing"",""น่าน!J152"")"),0)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IFERROR(__xludf.DUMMYFUNCTION("IMPORTRANGE(""https://docs.google.com/spreadsheets/d/11923uPwbBZFjjGgGUA6NLw09EwE0CqkOc4q9oUmW1yo/edit?usp=sharing"",""น่าน!J153"")"),1)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IFERROR(__xludf.DUMMYFUNCTION("IMPORTRANGE(""https://docs.google.com/spreadsheets/d/11923uPwbBZFjjGgGUA6NLw09EwE0CqkOc4q9oUmW1yo/edit?usp=sharing"",""น่าน!J154"")"),1)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IFERROR(__xludf.DUMMYFUNCTION("IMPORTRANGE(""https://docs.google.com/spreadsheets/d/11923uPwbBZFjjGgGUA6NLw09EwE0CqkOc4q9oUmW1yo/edit?usp=sharing"",""น่าน!I155"")"),15)</f>
        <v>15</v>
      </c>
      <c r="J235" s="188">
        <f ca="1">IFERROR(__xludf.DUMMYFUNCTION("IMPORTRANGE(""https://docs.google.com/spreadsheets/d/11923uPwbBZFjjGgGUA6NLw09EwE0CqkOc4q9oUmW1yo/edit?usp=sharing"",""น่าน!J155"")"),15)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IFERROR(__xludf.DUMMYFUNCTION("IMPORTRANGE(""https://docs.google.com/spreadsheets/d/11923uPwbBZFjjGgGUA6NLw09EwE0CqkOc4q9oUmW1yo/edit?usp=sharing"",""น่าน!J156"")"),1)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IFERROR(__xludf.DUMMYFUNCTION("IMPORTRANGE(""https://docs.google.com/spreadsheets/d/11923uPwbBZFjjGgGUA6NLw09EwE0CqkOc4q9oUmW1yo/edit?usp=sharing"",""น่าน!J157"")"),1)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IFERROR(__xludf.DUMMYFUNCTION("IMPORTRANGE(""https://docs.google.com/spreadsheets/d/11923uPwbBZFjjGgGUA6NLw09EwE0CqkOc4q9oUmW1yo/edit?usp=sharing"",""น่าน!I158"")"),0)</f>
        <v>0</v>
      </c>
      <c r="J238" s="267">
        <f ca="1">IFERROR(__xludf.DUMMYFUNCTION("IMPORTRANGE(""https://docs.google.com/spreadsheets/d/11923uPwbBZFjjGgGUA6NLw09EwE0CqkOc4q9oUmW1yo/edit?usp=sharing"",""น่าน!J158"")"),0)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IFERROR(__xludf.DUMMYFUNCTION("IMPORTRANGE(""https://docs.google.com/spreadsheets/d/11923uPwbBZFjjGgGUA6NLw09EwE0CqkOc4q9oUmW1yo/edit?usp=sharing"",""น่าน!J159"")"),"")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IFERROR(__xludf.DUMMYFUNCTION("IMPORTRANGE(""https://docs.google.com/spreadsheets/d/11923uPwbBZFjjGgGUA6NLw09EwE0CqkOc4q9oUmW1yo/edit?usp=sharing"",""น่าน!J161"")"),0)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IFERROR(__xludf.DUMMYFUNCTION("IMPORTRANGE(""https://docs.google.com/spreadsheets/d/11923uPwbBZFjjGgGUA6NLw09EwE0CqkOc4q9oUmW1yo/edit?usp=sharing"",""น่าน!J162"")"),0)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IFERROR(__xludf.DUMMYFUNCTION("IMPORTRANGE(""https://docs.google.com/spreadsheets/d/11923uPwbBZFjjGgGUA6NLw09EwE0CqkOc4q9oUmW1yo/edit?usp=sharing"",""น่าน!J163"")"),0)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IFERROR(__xludf.DUMMYFUNCTION("IMPORTRANGE(""https://docs.google.com/spreadsheets/d/11923uPwbBZFjjGgGUA6NLw09EwE0CqkOc4q9oUmW1yo/edit?usp=sharing"",""น่าน!I164"")"),0)</f>
        <v>0</v>
      </c>
      <c r="J244" s="187">
        <f ca="1">IFERROR(__xludf.DUMMYFUNCTION("IMPORTRANGE(""https://docs.google.com/spreadsheets/d/11923uPwbBZFjjGgGUA6NLw09EwE0CqkOc4q9oUmW1yo/edit?usp=sharing"",""น่าน!J164"")"),0)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IFERROR(__xludf.DUMMYFUNCTION("IMPORTRANGE(""https://docs.google.com/spreadsheets/d/11923uPwbBZFjjGgGUA6NLw09EwE0CqkOc4q9oUmW1yo/edit?usp=sharing"",""น่าน!J165"")"),0)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IFERROR(__xludf.DUMMYFUNCTION("IMPORTRANGE(""https://docs.google.com/spreadsheets/d/11923uPwbBZFjjGgGUA6NLw09EwE0CqkOc4q9oUmW1yo/edit?usp=sharing"",""น่าน!J166"")"),0)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IFERROR(__xludf.DUMMYFUNCTION("IMPORTRANGE(""https://docs.google.com/spreadsheets/d/11923uPwbBZFjjGgGUA6NLw09EwE0CqkOc4q9oUmW1yo/edit?usp=sharing"",""น่าน!I169"")"),0)</f>
        <v>0</v>
      </c>
      <c r="J249" s="316">
        <f ca="1">IFERROR(__xludf.DUMMYFUNCTION("IMPORTRANGE(""https://docs.google.com/spreadsheets/d/11923uPwbBZFjjGgGUA6NLw09EwE0CqkOc4q9oUmW1yo/edit?usp=sharing"",""น่าน!J169"")"),0)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IFERROR(__xludf.DUMMYFUNCTION("IMPORTRANGE(""https://docs.google.com/spreadsheets/d/1Yj_ptqi66GCucihVvJfMjLAmec39IyEx_6qawtMGysU/edit?usp=sharing"",""สบก!CB25"")"),0)</f>
        <v>0</v>
      </c>
      <c r="N254" s="168">
        <f ca="1">IFERROR(__xludf.DUMMYFUNCTION("IMPORTRANGE(""https://docs.google.com/spreadsheets/d/1Yj_ptqi66GCucihVvJfMjLAmec39IyEx_6qawtMGysU/edit?usp=sharing"",""สบก!CC25"")"),0)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IFERROR(__xludf.DUMMYFUNCTION("IMPORTRANGE(""https://docs.google.com/spreadsheets/d/1Yj_ptqi66GCucihVvJfMjLAmec39IyEx_6qawtMGysU/edit?usp=sharing"",""สบก!BX25"")"),0)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IFERROR(__xludf.DUMMYFUNCTION("IMPORTRANGE(""https://docs.google.com/spreadsheets/d/1Yj_ptqi66GCucihVvJfMjLAmec39IyEx_6qawtMGysU/edit?usp=sharing"",""สบก!BY25"")"),0)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IFERROR(__xludf.DUMMYFUNCTION("IMPORTRANGE(""https://docs.google.com/spreadsheets/d/1Yj_ptqi66GCucihVvJfMjLAmec39IyEx_6qawtMGysU/edit?usp=sharing"",""สบก!BZ25"")"),0)</f>
        <v>0</v>
      </c>
      <c r="M258" s="50"/>
      <c r="N258" s="50">
        <f ca="1">IFERROR(__xludf.DUMMYFUNCTION("IMPORTRANGE(""https://docs.google.com/spreadsheets/d/1Yj_ptqi66GCucihVvJfMjLAmec39IyEx_6qawtMGysU/edit?usp=sharing"",""สบก!CD25"")"),0)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IFERROR(__xludf.DUMMYFUNCTION("IMPORTRANGE(""https://docs.google.com/spreadsheets/d/11923uPwbBZFjjGgGUA6NLw09EwE0CqkOc4q9oUmW1yo/edit?usp=sharing"",""น่าน!J175"")"),0)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IFERROR(__xludf.DUMMYFUNCTION("IMPORTRANGE(""https://docs.google.com/spreadsheets/d/11923uPwbBZFjjGgGUA6NLw09EwE0CqkOc4q9oUmW1yo/edit?usp=sharing"",""น่าน!J176"")"),0)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IFERROR(__xludf.DUMMYFUNCTION("IMPORTRANGE(""https://docs.google.com/spreadsheets/d/11923uPwbBZFjjGgGUA6NLw09EwE0CqkOc4q9oUmW1yo/edit?usp=sharing"",""น่าน!J177"")"),0)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IFERROR(__xludf.DUMMYFUNCTION("IMPORTRANGE(""https://docs.google.com/spreadsheets/d/11923uPwbBZFjjGgGUA6NLw09EwE0CqkOc4q9oUmW1yo/edit?usp=sharing"",""น่าน!J178"")"),0)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IFERROR(__xludf.DUMMYFUNCTION("IMPORTRANGE(""https://docs.google.com/spreadsheets/d/11923uPwbBZFjjGgGUA6NLw09EwE0CqkOc4q9oUmW1yo/edit?usp=sharing"",""น่าน!I179"")"),0)</f>
        <v>0</v>
      </c>
      <c r="J264" s="188">
        <f ca="1">IFERROR(__xludf.DUMMYFUNCTION("IMPORTRANGE(""https://docs.google.com/spreadsheets/d/11923uPwbBZFjjGgGUA6NLw09EwE0CqkOc4q9oUmW1yo/edit?usp=sharing"",""น่าน!J179"")"),0)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IFERROR(__xludf.DUMMYFUNCTION("IMPORTRANGE(""https://docs.google.com/spreadsheets/d/11923uPwbBZFjjGgGUA6NLw09EwE0CqkOc4q9oUmW1yo/edit?usp=sharing"",""น่าน!I180"")"),0)</f>
        <v>0</v>
      </c>
      <c r="J265" s="188">
        <f ca="1">IFERROR(__xludf.DUMMYFUNCTION("IMPORTRANGE(""https://docs.google.com/spreadsheets/d/11923uPwbBZFjjGgGUA6NLw09EwE0CqkOc4q9oUmW1yo/edit?usp=sharing"",""น่าน!J180"")"),0)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IFERROR(__xludf.DUMMYFUNCTION("IMPORTRANGE(""https://docs.google.com/spreadsheets/d/11923uPwbBZFjjGgGUA6NLw09EwE0CqkOc4q9oUmW1yo/edit?usp=sharing"",""น่าน!I181"")"),0)</f>
        <v>0</v>
      </c>
      <c r="J266" s="188">
        <f ca="1">IFERROR(__xludf.DUMMYFUNCTION("IMPORTRANGE(""https://docs.google.com/spreadsheets/d/11923uPwbBZFjjGgGUA6NLw09EwE0CqkOc4q9oUmW1yo/edit?usp=sharing"",""น่าน!J181"")"),0)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IFERROR(__xludf.DUMMYFUNCTION("IMPORTRANGE(""https://docs.google.com/spreadsheets/d/11923uPwbBZFjjGgGUA6NLw09EwE0CqkOc4q9oUmW1yo/edit?usp=sharing"",""น่าน!I182"")"),0)</f>
        <v>0</v>
      </c>
      <c r="J267" s="188">
        <f ca="1">IFERROR(__xludf.DUMMYFUNCTION("IMPORTRANGE(""https://docs.google.com/spreadsheets/d/11923uPwbBZFjjGgGUA6NLw09EwE0CqkOc4q9oUmW1yo/edit?usp=sharing"",""น่าน!J182"")"),0)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IFERROR(__xludf.DUMMYFUNCTION("IMPORTRANGE(""https://docs.google.com/spreadsheets/d/11923uPwbBZFjjGgGUA6NLw09EwE0CqkOc4q9oUmW1yo/edit?usp=sharing"",""น่าน!J183"")"),0)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IFERROR(__xludf.DUMMYFUNCTION("IMPORTRANGE(""https://docs.google.com/spreadsheets/d/11923uPwbBZFjjGgGUA6NLw09EwE0CqkOc4q9oUmW1yo/edit?usp=sharing"",""น่าน!J184"")"),0)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IFERROR(__xludf.DUMMYFUNCTION("IMPORTRANGE(""https://docs.google.com/spreadsheets/d/11923uPwbBZFjjGgGUA6NLw09EwE0CqkOc4q9oUmW1yo/edit?usp=sharing"",""น่าน!I185"")"),15)</f>
        <v>15</v>
      </c>
      <c r="J270" s="316">
        <f ca="1">IFERROR(__xludf.DUMMYFUNCTION("IMPORTRANGE(""https://docs.google.com/spreadsheets/d/11923uPwbBZFjjGgGUA6NLw09EwE0CqkOc4q9oUmW1yo/edit?usp=sharing"",""น่าน!J185"")"),15)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58.423913043478258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32250</v>
      </c>
      <c r="O273" s="156">
        <f t="shared" ca="1" si="84"/>
        <v>58.423913043478258</v>
      </c>
      <c r="P273" s="156">
        <f t="shared" ca="1" si="85"/>
        <v>58.423913043478258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IFERROR(__xludf.DUMMYFUNCTION("IMPORTRANGE(""https://docs.google.com/spreadsheets/d/1Yj_ptqi66GCucihVvJfMjLAmec39IyEx_6qawtMGysU/edit?usp=sharing"",""สบก!CK25"")"),55200)</f>
        <v>55200</v>
      </c>
      <c r="N275" s="168">
        <f ca="1">IFERROR(__xludf.DUMMYFUNCTION("IMPORTRANGE(""https://docs.google.com/spreadsheets/d/1Yj_ptqi66GCucihVvJfMjLAmec39IyEx_6qawtMGysU/edit?usp=sharing"",""สบก!CL25"")"),32250)</f>
        <v>32250</v>
      </c>
      <c r="O275" s="168">
        <f ca="1">IF(L275&gt;0,N275*100/L275,0)</f>
        <v>58.423913043478258</v>
      </c>
      <c r="P275" s="168">
        <f ca="1">IF(M275&gt;0,N275*100/M275,0)</f>
        <v>58.423913043478258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IFERROR(__xludf.DUMMYFUNCTION("IMPORTRANGE(""https://docs.google.com/spreadsheets/d/1Yj_ptqi66GCucihVvJfMjLAmec39IyEx_6qawtMGysU/edit?usp=sharing"",""สบก!CG25"")"),0)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IFERROR(__xludf.DUMMYFUNCTION("IMPORTRANGE(""https://docs.google.com/spreadsheets/d/1Yj_ptqi66GCucihVvJfMjLAmec39IyEx_6qawtMGysU/edit?usp=sharing"",""สบก!CH25"")"),55200)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IFERROR(__xludf.DUMMYFUNCTION("IMPORTRANGE(""https://docs.google.com/spreadsheets/d/1Yj_ptqi66GCucihVvJfMjLAmec39IyEx_6qawtMGysU/edit?usp=sharing"",""สบก!CI25"")"),0)</f>
        <v>0</v>
      </c>
      <c r="M279" s="50"/>
      <c r="N279" s="50">
        <f ca="1">IFERROR(__xludf.DUMMYFUNCTION("IMPORTRANGE(""https://docs.google.com/spreadsheets/d/1Yj_ptqi66GCucihVvJfMjLAmec39IyEx_6qawtMGysU/edit?usp=sharing"",""สบก!CM25"")"),0)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IFERROR(__xludf.DUMMYFUNCTION("IMPORTRANGE(""https://docs.google.com/spreadsheets/d/11923uPwbBZFjjGgGUA6NLw09EwE0CqkOc4q9oUmW1yo/edit?usp=sharing"",""น่าน!J191"")"),0)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IFERROR(__xludf.DUMMYFUNCTION("IMPORTRANGE(""https://docs.google.com/spreadsheets/d/11923uPwbBZFjjGgGUA6NLw09EwE0CqkOc4q9oUmW1yo/edit?usp=sharing"",""น่าน!J192"")"),1)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IFERROR(__xludf.DUMMYFUNCTION("IMPORTRANGE(""https://docs.google.com/spreadsheets/d/11923uPwbBZFjjGgGUA6NLw09EwE0CqkOc4q9oUmW1yo/edit?usp=sharing"",""น่าน!J193"")"),1)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IFERROR(__xludf.DUMMYFUNCTION("IMPORTRANGE(""https://docs.google.com/spreadsheets/d/11923uPwbBZFjjGgGUA6NLw09EwE0CqkOc4q9oUmW1yo/edit?usp=sharing"",""น่าน!J194"")"),1)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IFERROR(__xludf.DUMMYFUNCTION("IMPORTRANGE(""https://docs.google.com/spreadsheets/d/11923uPwbBZFjjGgGUA6NLw09EwE0CqkOc4q9oUmW1yo/edit?usp=sharing"",""น่าน!I195"")"),15)</f>
        <v>15</v>
      </c>
      <c r="J285" s="188">
        <f ca="1">IFERROR(__xludf.DUMMYFUNCTION("IMPORTRANGE(""https://docs.google.com/spreadsheets/d/11923uPwbBZFjjGgGUA6NLw09EwE0CqkOc4q9oUmW1yo/edit?usp=sharing"",""น่าน!J195"")"),15)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IFERROR(__xludf.DUMMYFUNCTION("IMPORTRANGE(""https://docs.google.com/spreadsheets/d/11923uPwbBZFjjGgGUA6NLw09EwE0CqkOc4q9oUmW1yo/edit?usp=sharing"",""น่าน!J196"")"),0)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IFERROR(__xludf.DUMMYFUNCTION("IMPORTRANGE(""https://docs.google.com/spreadsheets/d/11923uPwbBZFjjGgGUA6NLw09EwE0CqkOc4q9oUmW1yo/edit?usp=sharing"",""น่าน!J197"")"),0)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IFERROR(__xludf.DUMMYFUNCTION("IMPORTRANGE(""https://docs.google.com/spreadsheets/d/11923uPwbBZFjjGgGUA6NLw09EwE0CqkOc4q9oUmW1yo/edit?usp=sharing"",""น่าน!I199"")"),0)</f>
        <v>0</v>
      </c>
      <c r="J289" s="316">
        <f ca="1">IFERROR(__xludf.DUMMYFUNCTION("IMPORTRANGE(""https://docs.google.com/spreadsheets/d/11923uPwbBZFjjGgGUA6NLw09EwE0CqkOc4q9oUmW1yo/edit?usp=sharing"",""น่าน!J199"")"),0)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IFERROR(__xludf.DUMMYFUNCTION("IMPORTRANGE(""https://docs.google.com/spreadsheets/d/1Yj_ptqi66GCucihVvJfMjLAmec39IyEx_6qawtMGysU/edit?usp=sharing"",""สบก!CT25"")"),0)</f>
        <v>0</v>
      </c>
      <c r="N294" s="168">
        <f ca="1">IFERROR(__xludf.DUMMYFUNCTION("IMPORTRANGE(""https://docs.google.com/spreadsheets/d/1Yj_ptqi66GCucihVvJfMjLAmec39IyEx_6qawtMGysU/edit?usp=sharing"",""สบก!CU25"")"),0)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IFERROR(__xludf.DUMMYFUNCTION("IMPORTRANGE(""https://docs.google.com/spreadsheets/d/1Yj_ptqi66GCucihVvJfMjLAmec39IyEx_6qawtMGysU/edit?usp=sharing"",""สบก!CP25"")"),0)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IFERROR(__xludf.DUMMYFUNCTION("IMPORTRANGE(""https://docs.google.com/spreadsheets/d/1Yj_ptqi66GCucihVvJfMjLAmec39IyEx_6qawtMGysU/edit?usp=sharing"",""สบก!CQ25"")"),0)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IFERROR(__xludf.DUMMYFUNCTION("IMPORTRANGE(""https://docs.google.com/spreadsheets/d/1Yj_ptqi66GCucihVvJfMjLAmec39IyEx_6qawtMGysU/edit?usp=sharing"",""สบก!CR25"")"),0)</f>
        <v>0</v>
      </c>
      <c r="M298" s="50"/>
      <c r="N298" s="50">
        <f ca="1">IFERROR(__xludf.DUMMYFUNCTION("IMPORTRANGE(""https://docs.google.com/spreadsheets/d/1Yj_ptqi66GCucihVvJfMjLAmec39IyEx_6qawtMGysU/edit?usp=sharing"",""สบก!CV25"")"),0)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IFERROR(__xludf.DUMMYFUNCTION("IMPORTRANGE(""https://docs.google.com/spreadsheets/d/11923uPwbBZFjjGgGUA6NLw09EwE0CqkOc4q9oUmW1yo/edit?usp=sharing"",""น่าน!J205"")"),0)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IFERROR(__xludf.DUMMYFUNCTION("IMPORTRANGE(""https://docs.google.com/spreadsheets/d/11923uPwbBZFjjGgGUA6NLw09EwE0CqkOc4q9oUmW1yo/edit?usp=sharing"",""น่าน!J206"")"),0)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IFERROR(__xludf.DUMMYFUNCTION("IMPORTRANGE(""https://docs.google.com/spreadsheets/d/11923uPwbBZFjjGgGUA6NLw09EwE0CqkOc4q9oUmW1yo/edit?usp=sharing"",""น่าน!J207"")"),0)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IFERROR(__xludf.DUMMYFUNCTION("IMPORTRANGE(""https://docs.google.com/spreadsheets/d/11923uPwbBZFjjGgGUA6NLw09EwE0CqkOc4q9oUmW1yo/edit?usp=sharing"",""น่าน!J208"")"),0)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IFERROR(__xludf.DUMMYFUNCTION("IMPORTRANGE(""https://docs.google.com/spreadsheets/d/11923uPwbBZFjjGgGUA6NLw09EwE0CqkOc4q9oUmW1yo/edit?usp=sharing"",""น่าน!I209"")"),0)</f>
        <v>0</v>
      </c>
      <c r="J304" s="203">
        <f ca="1">IFERROR(__xludf.DUMMYFUNCTION("IMPORTRANGE(""https://docs.google.com/spreadsheets/d/11923uPwbBZFjjGgGUA6NLw09EwE0CqkOc4q9oUmW1yo/edit?usp=sharing"",""น่าน!J209"")"),0)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IFERROR(__xludf.DUMMYFUNCTION("IMPORTRANGE(""https://docs.google.com/spreadsheets/d/11923uPwbBZFjjGgGUA6NLw09EwE0CqkOc4q9oUmW1yo/edit?usp=sharing"",""น่าน!I211"")"),0)</f>
        <v>0</v>
      </c>
      <c r="J306" s="203">
        <f ca="1">IFERROR(__xludf.DUMMYFUNCTION("IMPORTRANGE(""https://docs.google.com/spreadsheets/d/11923uPwbBZFjjGgGUA6NLw09EwE0CqkOc4q9oUmW1yo/edit?usp=sharing"",""น่าน!J211"")"),0)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IFERROR(__xludf.DUMMYFUNCTION("IMPORTRANGE(""https://docs.google.com/spreadsheets/d/11923uPwbBZFjjGgGUA6NLw09EwE0CqkOc4q9oUmW1yo/edit?usp=sharing"",""น่าน!J212"")"),0)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IFERROR(__xludf.DUMMYFUNCTION("IMPORTRANGE(""https://docs.google.com/spreadsheets/d/11923uPwbBZFjjGgGUA6NLw09EwE0CqkOc4q9oUmW1yo/edit?usp=sharing"",""น่าน!J213"")"),0)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IFERROR(__xludf.DUMMYFUNCTION("IMPORTRANGE(""https://docs.google.com/spreadsheets/d/11923uPwbBZFjjGgGUA6NLw09EwE0CqkOc4q9oUmW1yo/edit?usp=sharing"",""น่าน!I214"")"),0)</f>
        <v>0</v>
      </c>
      <c r="J309" s="333">
        <f ca="1">IFERROR(__xludf.DUMMYFUNCTION("IMPORTRANGE(""https://docs.google.com/spreadsheets/d/11923uPwbBZFjjGgGUA6NLw09EwE0CqkOc4q9oUmW1yo/edit?usp=sharing"",""น่าน!J214"")"),0)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IFERROR(__xludf.DUMMYFUNCTION("IMPORTRANGE(""https://docs.google.com/spreadsheets/d/1Yj_ptqi66GCucihVvJfMjLAmec39IyEx_6qawtMGysU/edit?usp=sharing"",""สบก!DC25"")"),0)</f>
        <v>0</v>
      </c>
      <c r="N314" s="168">
        <f ca="1">IFERROR(__xludf.DUMMYFUNCTION("IMPORTRANGE(""https://docs.google.com/spreadsheets/d/1Yj_ptqi66GCucihVvJfMjLAmec39IyEx_6qawtMGysU/edit?usp=sharing"",""สบก!DD25"")"),0)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IFERROR(__xludf.DUMMYFUNCTION("IMPORTRANGE(""https://docs.google.com/spreadsheets/d/1Yj_ptqi66GCucihVvJfMjLAmec39IyEx_6qawtMGysU/edit?usp=sharing"",""สบก!CY25"")"),0)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IFERROR(__xludf.DUMMYFUNCTION("IMPORTRANGE(""https://docs.google.com/spreadsheets/d/1Yj_ptqi66GCucihVvJfMjLAmec39IyEx_6qawtMGysU/edit?usp=sharing"",""สบก!CZ25"")"),0)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IFERROR(__xludf.DUMMYFUNCTION("IMPORTRANGE(""https://docs.google.com/spreadsheets/d/1Yj_ptqi66GCucihVvJfMjLAmec39IyEx_6qawtMGysU/edit?usp=sharing"",""สบก!DA25"")"),0)</f>
        <v>0</v>
      </c>
      <c r="M318" s="50"/>
      <c r="N318" s="50">
        <f ca="1">IFERROR(__xludf.DUMMYFUNCTION("IMPORTRANGE(""https://docs.google.com/spreadsheets/d/1Yj_ptqi66GCucihVvJfMjLAmec39IyEx_6qawtMGysU/edit?usp=sharing"",""สบก!DE25"")"),0)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IFERROR(__xludf.DUMMYFUNCTION("IMPORTRANGE(""https://docs.google.com/spreadsheets/d/11923uPwbBZFjjGgGUA6NLw09EwE0CqkOc4q9oUmW1yo/edit?usp=sharing"",""น่าน!J220"")"),0)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IFERROR(__xludf.DUMMYFUNCTION("IMPORTRANGE(""https://docs.google.com/spreadsheets/d/11923uPwbBZFjjGgGUA6NLw09EwE0CqkOc4q9oUmW1yo/edit?usp=sharing"",""น่าน!J221"")"),0)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IFERROR(__xludf.DUMMYFUNCTION("IMPORTRANGE(""https://docs.google.com/spreadsheets/d/11923uPwbBZFjjGgGUA6NLw09EwE0CqkOc4q9oUmW1yo/edit?usp=sharing"",""น่าน!J222"")"),0)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IFERROR(__xludf.DUMMYFUNCTION("IMPORTRANGE(""https://docs.google.com/spreadsheets/d/11923uPwbBZFjjGgGUA6NLw09EwE0CqkOc4q9oUmW1yo/edit?usp=sharing"",""น่าน!J223"")"),0)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IFERROR(__xludf.DUMMYFUNCTION("IMPORTRANGE(""https://docs.google.com/spreadsheets/d/11923uPwbBZFjjGgGUA6NLw09EwE0CqkOc4q9oUmW1yo/edit?usp=sharing"",""น่าน!I224"")"),0)</f>
        <v>0</v>
      </c>
      <c r="J324" s="203">
        <f ca="1">IFERROR(__xludf.DUMMYFUNCTION("IMPORTRANGE(""https://docs.google.com/spreadsheets/d/11923uPwbBZFjjGgGUA6NLw09EwE0CqkOc4q9oUmW1yo/edit?usp=sharing"",""น่าน!J224"")"),0)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IFERROR(__xludf.DUMMYFUNCTION("IMPORTRANGE(""https://docs.google.com/spreadsheets/d/11923uPwbBZFjjGgGUA6NLw09EwE0CqkOc4q9oUmW1yo/edit?usp=sharing"",""น่าน!J225"")"),0)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IFERROR(__xludf.DUMMYFUNCTION("IMPORTRANGE(""https://docs.google.com/spreadsheets/d/11923uPwbBZFjjGgGUA6NLw09EwE0CqkOc4q9oUmW1yo/edit?usp=sharing"",""น่าน!J226"")"),0)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IFERROR(__xludf.DUMMYFUNCTION("IMPORTRANGE(""https://docs.google.com/spreadsheets/d/11923uPwbBZFjjGgGUA6NLw09EwE0CqkOc4q9oUmW1yo/edit?usp=sharing"",""น่าน!I228"")"),800)</f>
        <v>800</v>
      </c>
      <c r="J328" s="339">
        <f ca="1">IFERROR(__xludf.DUMMYFUNCTION("IMPORTRANGE(""https://docs.google.com/spreadsheets/d/11923uPwbBZFjjGgGUA6NLw09EwE0CqkOc4q9oUmW1yo/edit?usp=sharing"",""น่าน!J228"")"),634)</f>
        <v>634</v>
      </c>
      <c r="K328" s="317">
        <f ca="1">IF(I328&gt;0,J328*100/I328,0)</f>
        <v>79.25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967350</v>
      </c>
      <c r="M329" s="152">
        <f t="shared" ca="1" si="98"/>
        <v>942450</v>
      </c>
      <c r="N329" s="152">
        <f t="shared" ca="1" si="98"/>
        <v>609480</v>
      </c>
      <c r="O329" s="151">
        <f t="shared" ref="O329:O331" ca="1" si="99">IF(L329&gt;0,N329*100/L329,0)</f>
        <v>63.005117072414329</v>
      </c>
      <c r="P329" s="151">
        <f t="shared" ref="P329:P331" ca="1" si="100">IF(M329&gt;0,N329*100/M329,0)</f>
        <v>64.669743752984246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967350</v>
      </c>
      <c r="M331" s="88">
        <f t="shared" ca="1" si="102"/>
        <v>942450</v>
      </c>
      <c r="N331" s="88">
        <f t="shared" ca="1" si="102"/>
        <v>609480</v>
      </c>
      <c r="O331" s="156">
        <f t="shared" ca="1" si="99"/>
        <v>63.005117072414329</v>
      </c>
      <c r="P331" s="156">
        <f t="shared" ca="1" si="100"/>
        <v>64.669743752984246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952350</v>
      </c>
      <c r="M333" s="167">
        <f ca="1">IFERROR(__xludf.DUMMYFUNCTION("IMPORTRANGE(""https://docs.google.com/spreadsheets/d/1Yj_ptqi66GCucihVvJfMjLAmec39IyEx_6qawtMGysU/edit?usp=sharing"",""สบก!DL25"")"),927450)</f>
        <v>927450</v>
      </c>
      <c r="N333" s="168">
        <f ca="1">IFERROR(__xludf.DUMMYFUNCTION("IMPORTRANGE(""https://docs.google.com/spreadsheets/d/1Yj_ptqi66GCucihVvJfMjLAmec39IyEx_6qawtMGysU/edit?usp=sharing"",""สบก!DM25"")"),594480)</f>
        <v>594480</v>
      </c>
      <c r="O333" s="168">
        <f ca="1">IF(L333&gt;0,N333*100/L333,0)</f>
        <v>62.422428728933689</v>
      </c>
      <c r="P333" s="168">
        <f ca="1">IF(M333&gt;0,N333*100/M333,0)</f>
        <v>64.098334142002258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IFERROR(__xludf.DUMMYFUNCTION("IMPORTRANGE(""https://docs.google.com/spreadsheets/d/1Yj_ptqi66GCucihVvJfMjLAmec39IyEx_6qawtMGysU/edit?usp=sharing"",""สบก!DH25"")"),417600)</f>
        <v>417600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IFERROR(__xludf.DUMMYFUNCTION("IMPORTRANGE(""https://docs.google.com/spreadsheets/d/1Yj_ptqi66GCucihVvJfMjLAmec39IyEx_6qawtMGysU/edit?usp=sharing"",""สบก!DI25"")"),534750)</f>
        <v>534750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IFERROR(__xludf.DUMMYFUNCTION("IMPORTRANGE(""https://docs.google.com/spreadsheets/d/1Yj_ptqi66GCucihVvJfMjLAmec39IyEx_6qawtMGysU/edit?usp=sharing"",""สบก!DJ25"")"),15000)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IFERROR(__xludf.DUMMYFUNCTION("IMPORTRANGE(""https://docs.google.com/spreadsheets/d/1Yj_ptqi66GCucihVvJfMjLAmec39IyEx_6qawtMGysU/edit?usp=sharing"",""สบก!DN25"")"),15000)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IFERROR(__xludf.DUMMYFUNCTION("IMPORTRANGE(""https://docs.google.com/spreadsheets/d/11923uPwbBZFjjGgGUA6NLw09EwE0CqkOc4q9oUmW1yo/edit?usp=sharing"",""น่าน!I234"")"),0)</f>
        <v>0</v>
      </c>
      <c r="J339" s="187">
        <f ca="1">IFERROR(__xludf.DUMMYFUNCTION("IMPORTRANGE(""https://docs.google.com/spreadsheets/d/11923uPwbBZFjjGgGUA6NLw09EwE0CqkOc4q9oUmW1yo/edit?usp=sharing"",""น่าน!J234"")"),392)</f>
        <v>392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IFERROR(__xludf.DUMMYFUNCTION("IMPORTRANGE(""https://docs.google.com/spreadsheets/d/11923uPwbBZFjjGgGUA6NLw09EwE0CqkOc4q9oUmW1yo/edit?usp=sharing"",""น่าน!I235"")"),2000)</f>
        <v>2000</v>
      </c>
      <c r="J340" s="187">
        <f ca="1">IFERROR(__xludf.DUMMYFUNCTION("IMPORTRANGE(""https://docs.google.com/spreadsheets/d/11923uPwbBZFjjGgGUA6NLw09EwE0CqkOc4q9oUmW1yo/edit?usp=sharing"",""น่าน!J235"")"),1309.43)</f>
        <v>1309.43</v>
      </c>
      <c r="K340" s="342">
        <f t="shared" ca="1" si="103"/>
        <v>65.471500000000006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IFERROR(__xludf.DUMMYFUNCTION("IMPORTRANGE(""https://docs.google.com/spreadsheets/d/11923uPwbBZFjjGgGUA6NLw09EwE0CqkOc4q9oUmW1yo/edit?usp=sharing"",""น่าน!I236"")"),800)</f>
        <v>800</v>
      </c>
      <c r="J341" s="187">
        <f ca="1">IFERROR(__xludf.DUMMYFUNCTION("IMPORTRANGE(""https://docs.google.com/spreadsheets/d/11923uPwbBZFjjGgGUA6NLw09EwE0CqkOc4q9oUmW1yo/edit?usp=sharing"",""น่าน!J236"")"),680)</f>
        <v>680</v>
      </c>
      <c r="K341" s="342">
        <f t="shared" ca="1" si="103"/>
        <v>85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IFERROR(__xludf.DUMMYFUNCTION("IMPORTRANGE(""https://docs.google.com/spreadsheets/d/11923uPwbBZFjjGgGUA6NLw09EwE0CqkOc4q9oUmW1yo/edit?usp=sharing"",""น่าน!I237"")"),0)</f>
        <v>0</v>
      </c>
      <c r="J342" s="187">
        <f ca="1">IFERROR(__xludf.DUMMYFUNCTION("IMPORTRANGE(""https://docs.google.com/spreadsheets/d/11923uPwbBZFjjGgGUA6NLw09EwE0CqkOc4q9oUmW1yo/edit?usp=sharing"",""น่าน!J237"")"),3345.33999999999)</f>
        <v>3345.3399999999901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IFERROR(__xludf.DUMMYFUNCTION("IMPORTRANGE(""https://docs.google.com/spreadsheets/d/11923uPwbBZFjjGgGUA6NLw09EwE0CqkOc4q9oUmW1yo/edit?usp=sharing"",""น่าน!I238"")"),800)</f>
        <v>800</v>
      </c>
      <c r="J343" s="187">
        <f ca="1">IFERROR(__xludf.DUMMYFUNCTION("IMPORTRANGE(""https://docs.google.com/spreadsheets/d/11923uPwbBZFjjGgGUA6NLw09EwE0CqkOc4q9oUmW1yo/edit?usp=sharing"",""น่าน!J238"")"),0)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IFERROR(__xludf.DUMMYFUNCTION("IMPORTRANGE(""https://docs.google.com/spreadsheets/d/11923uPwbBZFjjGgGUA6NLw09EwE0CqkOc4q9oUmW1yo/edit?usp=sharing"",""น่าน!I239"")"),0)</f>
        <v>0</v>
      </c>
      <c r="J344" s="187">
        <f ca="1">IFERROR(__xludf.DUMMYFUNCTION("IMPORTRANGE(""https://docs.google.com/spreadsheets/d/11923uPwbBZFjjGgGUA6NLw09EwE0CqkOc4q9oUmW1yo/edit?usp=sharing"",""น่าน!J239"")"),0)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IFERROR(__xludf.DUMMYFUNCTION("IMPORTRANGE(""https://docs.google.com/spreadsheets/d/11923uPwbBZFjjGgGUA6NLw09EwE0CqkOc4q9oUmW1yo/edit?usp=sharing"",""น่าน!I240"")"),800)</f>
        <v>800</v>
      </c>
      <c r="J345" s="187">
        <f ca="1">IFERROR(__xludf.DUMMYFUNCTION("IMPORTRANGE(""https://docs.google.com/spreadsheets/d/11923uPwbBZFjjGgGUA6NLw09EwE0CqkOc4q9oUmW1yo/edit?usp=sharing"",""น่าน!J240"")"),634)</f>
        <v>634</v>
      </c>
      <c r="K345" s="342">
        <f t="shared" ca="1" si="103"/>
        <v>79.25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IFERROR(__xludf.DUMMYFUNCTION("IMPORTRANGE(""https://docs.google.com/spreadsheets/d/11923uPwbBZFjjGgGUA6NLw09EwE0CqkOc4q9oUmW1yo/edit?usp=sharing"",""น่าน!I241"")"),0)</f>
        <v>0</v>
      </c>
      <c r="J346" s="187">
        <f ca="1">IFERROR(__xludf.DUMMYFUNCTION("IMPORTRANGE(""https://docs.google.com/spreadsheets/d/11923uPwbBZFjjGgGUA6NLw09EwE0CqkOc4q9oUmW1yo/edit?usp=sharing"",""น่าน!J241"")"),3210.37)</f>
        <v>3210.37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IFERROR(__xludf.DUMMYFUNCTION("IMPORTRANGE(""https://docs.google.com/spreadsheets/d/11923uPwbBZFjjGgGUA6NLw09EwE0CqkOc4q9oUmW1yo/edit?usp=sharing"",""น่าน!L242"")"),2780094)</f>
        <v>2780094</v>
      </c>
      <c r="M347" s="357"/>
      <c r="N347" s="357">
        <f ca="1">IFERROR(__xludf.DUMMYFUNCTION("IMPORTRANGE(""https://docs.google.com/spreadsheets/d/11923uPwbBZFjjGgGUA6NLw09EwE0CqkOc4q9oUmW1yo/edit?usp=sharing"",""น่าน!M242"")"),873473)</f>
        <v>873473</v>
      </c>
      <c r="O347" s="357">
        <f ca="1">+IF(L347&gt;0,N347*100/L347,0)</f>
        <v>31.418829723023755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IFERROR(__xludf.DUMMYFUNCTION("IMPORTRANGE(""https://docs.google.com/spreadsheets/d/11923uPwbBZFjjGgGUA6NLw09EwE0CqkOc4q9oUmW1yo/edit?usp=sharing"",""น่าน!I244"")"),120)</f>
        <v>120</v>
      </c>
      <c r="J349" s="370">
        <f ca="1">IFERROR(__xludf.DUMMYFUNCTION("IMPORTRANGE(""https://docs.google.com/spreadsheets/d/11923uPwbBZFjjGgGUA6NLw09EwE0CqkOc4q9oUmW1yo/edit?usp=sharing"",""น่าน!J244"")"),0)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IFERROR(__xludf.DUMMYFUNCTION("IMPORTRANGE(""https://docs.google.com/spreadsheets/d/11923uPwbBZFjjGgGUA6NLw09EwE0CqkOc4q9oUmW1yo/edit?usp=sharing"",""น่าน!L244"")"),346610)</f>
        <v>346610</v>
      </c>
      <c r="M349" s="372"/>
      <c r="N349" s="372">
        <f ca="1">IFERROR(__xludf.DUMMYFUNCTION("IMPORTRANGE(""https://docs.google.com/spreadsheets/d/11923uPwbBZFjjGgGUA6NLw09EwE0CqkOc4q9oUmW1yo/edit?usp=sharing"",""น่าน!M244"")"),155229)</f>
        <v>155229</v>
      </c>
      <c r="O349" s="372">
        <f ca="1">+IF(L349&gt;0,N349*100/L349,0)</f>
        <v>44.784916765240474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IFERROR(__xludf.DUMMYFUNCTION("IMPORTRANGE(""https://docs.google.com/spreadsheets/d/11923uPwbBZFjjGgGUA6NLw09EwE0CqkOc4q9oUmW1yo/edit?usp=sharing"",""น่าน!I245"")"),45)</f>
        <v>45</v>
      </c>
      <c r="J350" s="370">
        <f ca="1">IFERROR(__xludf.DUMMYFUNCTION("IMPORTRANGE(""https://docs.google.com/spreadsheets/d/11923uPwbBZFjjGgGUA6NLw09EwE0CqkOc4q9oUmW1yo/edit?usp=sharing"",""น่าน!J245"")"),45)</f>
        <v>45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IFERROR(__xludf.DUMMYFUNCTION("IMPORTRANGE(""https://docs.google.com/spreadsheets/d/11923uPwbBZFjjGgGUA6NLw09EwE0CqkOc4q9oUmW1yo/edit?usp=sharing"",""น่าน!L246"")"),0)</f>
        <v>0</v>
      </c>
      <c r="M351" s="164"/>
      <c r="N351" s="164">
        <f ca="1">IFERROR(__xludf.DUMMYFUNCTION("IMPORTRANGE(""https://docs.google.com/spreadsheets/d/11923uPwbBZFjjGgGUA6NLw09EwE0CqkOc4q9oUmW1yo/edit?usp=sharing"",""น่าน!M246"")"),0)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IFERROR(__xludf.DUMMYFUNCTION("IMPORTRANGE(""https://docs.google.com/spreadsheets/d/11923uPwbBZFjjGgGUA6NLw09EwE0CqkOc4q9oUmW1yo/edit?usp=sharing"",""น่าน!L247"")"),346610)</f>
        <v>346610</v>
      </c>
      <c r="M352" s="165"/>
      <c r="N352" s="164">
        <f ca="1">IFERROR(__xludf.DUMMYFUNCTION("IMPORTRANGE(""https://docs.google.com/spreadsheets/d/11923uPwbBZFjjGgGUA6NLw09EwE0CqkOc4q9oUmW1yo/edit?usp=sharing"",""น่าน!M247"")"),155229)</f>
        <v>155229</v>
      </c>
      <c r="O352" s="165">
        <f t="shared" ca="1" si="105"/>
        <v>44.784916765240474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IFERROR(__xludf.DUMMYFUNCTION("IMPORTRANGE(""https://docs.google.com/spreadsheets/d/11923uPwbBZFjjGgGUA6NLw09EwE0CqkOc4q9oUmW1yo/edit?usp=sharing"",""น่าน!L248"")"),0)</f>
        <v>0</v>
      </c>
      <c r="M353" s="168"/>
      <c r="N353" s="168">
        <f ca="1">IFERROR(__xludf.DUMMYFUNCTION("IMPORTRANGE(""https://docs.google.com/spreadsheets/d/11923uPwbBZFjjGgGUA6NLw09EwE0CqkOc4q9oUmW1yo/edit?usp=sharing"",""น่าน!M248"")"),0)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IFERROR(__xludf.DUMMYFUNCTION("IMPORTRANGE(""https://docs.google.com/spreadsheets/d/11923uPwbBZFjjGgGUA6NLw09EwE0CqkOc4q9oUmW1yo/edit?usp=sharing"",""น่าน!L249"")"),346610)</f>
        <v>346610</v>
      </c>
      <c r="M354" s="168"/>
      <c r="N354" s="167">
        <f ca="1">IFERROR(__xludf.DUMMYFUNCTION("IMPORTRANGE(""https://docs.google.com/spreadsheets/d/11923uPwbBZFjjGgGUA6NLw09EwE0CqkOc4q9oUmW1yo/edit?usp=sharing"",""น่าน!M249"")"),155229)</f>
        <v>155229</v>
      </c>
      <c r="O354" s="168">
        <f t="shared" ca="1" si="105"/>
        <v>44.784916765240474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IFERROR(__xludf.DUMMYFUNCTION("IMPORTRANGE(""https://docs.google.com/spreadsheets/d/11923uPwbBZFjjGgGUA6NLw09EwE0CqkOc4q9oUmW1yo/edit?usp=sharing"",""น่าน!M250"")"),56100)</f>
        <v>56100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IFERROR(__xludf.DUMMYFUNCTION("IMPORTRANGE(""https://docs.google.com/spreadsheets/d/11923uPwbBZFjjGgGUA6NLw09EwE0CqkOc4q9oUmW1yo/edit?usp=sharing"",""น่าน!M251"")"),0)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IFERROR(__xludf.DUMMYFUNCTION("IMPORTRANGE(""https://docs.google.com/spreadsheets/d/11923uPwbBZFjjGgGUA6NLw09EwE0CqkOc4q9oUmW1yo/edit?usp=sharing"",""น่าน!M252"")"),94449)</f>
        <v>94449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IFERROR(__xludf.DUMMYFUNCTION("IMPORTRANGE(""https://docs.google.com/spreadsheets/d/11923uPwbBZFjjGgGUA6NLw09EwE0CqkOc4q9oUmW1yo/edit?usp=sharing"",""น่าน!M253"")"),4680)</f>
        <v>4680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IFERROR(__xludf.DUMMYFUNCTION("IMPORTRANGE(""https://docs.google.com/spreadsheets/d/11923uPwbBZFjjGgGUA6NLw09EwE0CqkOc4q9oUmW1yo/edit?usp=sharing"",""น่าน!J255"")"),0)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IFERROR(__xludf.DUMMYFUNCTION("IMPORTRANGE(""https://docs.google.com/spreadsheets/d/11923uPwbBZFjjGgGUA6NLw09EwE0CqkOc4q9oUmW1yo/edit?usp=sharing"",""น่าน!J256"")"),1)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IFERROR(__xludf.DUMMYFUNCTION("IMPORTRANGE(""https://docs.google.com/spreadsheets/d/11923uPwbBZFjjGgGUA6NLw09EwE0CqkOc4q9oUmW1yo/edit?usp=sharing"",""น่าน!J257"")"),1)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IFERROR(__xludf.DUMMYFUNCTION("IMPORTRANGE(""https://docs.google.com/spreadsheets/d/11923uPwbBZFjjGgGUA6NLw09EwE0CqkOc4q9oUmW1yo/edit?usp=sharing"",""น่าน!J258"")"),1)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IFERROR(__xludf.DUMMYFUNCTION("IMPORTRANGE(""https://docs.google.com/spreadsheets/d/11923uPwbBZFjjGgGUA6NLw09EwE0CqkOc4q9oUmW1yo/edit?usp=sharing"",""น่าน!J166"")"),0)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IFERROR(__xludf.DUMMYFUNCTION("IMPORTRANGE(""https://docs.google.com/spreadsheets/d/11923uPwbBZFjjGgGUA6NLw09EwE0CqkOc4q9oUmW1yo/edit?usp=sharing"",""น่าน!J166"")"),0)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IFERROR(__xludf.DUMMYFUNCTION("IMPORTRANGE(""https://docs.google.com/spreadsheets/d/11923uPwbBZFjjGgGUA6NLw09EwE0CqkOc4q9oUmW1yo/edit?usp=sharing"",""น่าน!J166"")"),0)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IFERROR(__xludf.DUMMYFUNCTION("IMPORTRANGE(""https://docs.google.com/spreadsheets/d/11923uPwbBZFjjGgGUA6NLw09EwE0CqkOc4q9oUmW1yo/edit?usp=sharing"",""น่าน!J166"")"),0)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IFERROR(__xludf.DUMMYFUNCTION("IMPORTRANGE(""https://docs.google.com/spreadsheets/d/11923uPwbBZFjjGgGUA6NLw09EwE0CqkOc4q9oUmW1yo/edit?usp=sharing"",""น่าน!I263"")"),45)</f>
        <v>45</v>
      </c>
      <c r="J368" s="187">
        <f ca="1">IFERROR(__xludf.DUMMYFUNCTION("IMPORTRANGE(""https://docs.google.com/spreadsheets/d/11923uPwbBZFjjGgGUA6NLw09EwE0CqkOc4q9oUmW1yo/edit?usp=sharing"",""น่าน!J263"")"),45)</f>
        <v>45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IFERROR(__xludf.DUMMYFUNCTION("IMPORTRANGE(""https://docs.google.com/spreadsheets/d/11923uPwbBZFjjGgGUA6NLw09EwE0CqkOc4q9oUmW1yo/edit?usp=sharing"",""น่าน!I164"")"),0)</f>
        <v>0</v>
      </c>
      <c r="J369" s="203">
        <f ca="1">IFERROR(__xludf.DUMMYFUNCTION("IMPORTRANGE(""https://docs.google.com/spreadsheets/d/11923uPwbBZFjjGgGUA6NLw09EwE0CqkOc4q9oUmW1yo/edit?usp=sharing"",""น่าน!J164"")"),0)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IFERROR(__xludf.DUMMYFUNCTION("IMPORTRANGE(""https://docs.google.com/spreadsheets/d/11923uPwbBZFjjGgGUA6NLw09EwE0CqkOc4q9oUmW1yo/edit?usp=sharing"",""น่าน!I265"")"),45)</f>
        <v>45</v>
      </c>
      <c r="J370" s="203">
        <f ca="1">IFERROR(__xludf.DUMMYFUNCTION("IMPORTRANGE(""https://docs.google.com/spreadsheets/d/11923uPwbBZFjjGgGUA6NLw09EwE0CqkOc4q9oUmW1yo/edit?usp=sharing"",""น่าน!J265"")"),45)</f>
        <v>45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IFERROR(__xludf.DUMMYFUNCTION("IMPORTRANGE(""https://docs.google.com/spreadsheets/d/11923uPwbBZFjjGgGUA6NLw09EwE0CqkOc4q9oUmW1yo/edit?usp=sharing"",""น่าน!I164"")"),0)</f>
        <v>0</v>
      </c>
      <c r="J371" s="188">
        <f ca="1">IFERROR(__xludf.DUMMYFUNCTION("IMPORTRANGE(""https://docs.google.com/spreadsheets/d/11923uPwbBZFjjGgGUA6NLw09EwE0CqkOc4q9oUmW1yo/edit?usp=sharing"",""น่าน!J164"")"),0)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IFERROR(__xludf.DUMMYFUNCTION("IMPORTRANGE(""https://docs.google.com/spreadsheets/d/11923uPwbBZFjjGgGUA6NLw09EwE0CqkOc4q9oUmW1yo/edit?usp=sharing"",""น่าน!I267"")"),45)</f>
        <v>45</v>
      </c>
      <c r="J372" s="188">
        <f ca="1">IFERROR(__xludf.DUMMYFUNCTION("IMPORTRANGE(""https://docs.google.com/spreadsheets/d/11923uPwbBZFjjGgGUA6NLw09EwE0CqkOc4q9oUmW1yo/edit?usp=sharing"",""น่าน!J267"")"),45)</f>
        <v>45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IFERROR(__xludf.DUMMYFUNCTION("IMPORTRANGE(""https://docs.google.com/spreadsheets/d/11923uPwbBZFjjGgGUA6NLw09EwE0CqkOc4q9oUmW1yo/edit?usp=sharing"",""น่าน!I164"")"),0)</f>
        <v>0</v>
      </c>
      <c r="J373" s="203">
        <f ca="1">IFERROR(__xludf.DUMMYFUNCTION("IMPORTRANGE(""https://docs.google.com/spreadsheets/d/11923uPwbBZFjjGgGUA6NLw09EwE0CqkOc4q9oUmW1yo/edit?usp=sharing"",""น่าน!J164"")"),0)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IFERROR(__xludf.DUMMYFUNCTION("IMPORTRANGE(""https://docs.google.com/spreadsheets/d/11923uPwbBZFjjGgGUA6NLw09EwE0CqkOc4q9oUmW1yo/edit?usp=sharing"",""น่าน!I164"")"),0)</f>
        <v>0</v>
      </c>
      <c r="J374" s="187">
        <f ca="1">IFERROR(__xludf.DUMMYFUNCTION("IMPORTRANGE(""https://docs.google.com/spreadsheets/d/11923uPwbBZFjjGgGUA6NLw09EwE0CqkOc4q9oUmW1yo/edit?usp=sharing"",""น่าน!J164"")"),0)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IFERROR(__xludf.DUMMYFUNCTION("IMPORTRANGE(""https://docs.google.com/spreadsheets/d/11923uPwbBZFjjGgGUA6NLw09EwE0CqkOc4q9oUmW1yo/edit?usp=sharing"",""น่าน!I270"")"),120)</f>
        <v>120</v>
      </c>
      <c r="J375" s="187">
        <f ca="1">IFERROR(__xludf.DUMMYFUNCTION("IMPORTRANGE(""https://docs.google.com/spreadsheets/d/11923uPwbBZFjjGgGUA6NLw09EwE0CqkOc4q9oUmW1yo/edit?usp=sharing"",""น่าน!J270"")"),0)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IFERROR(__xludf.DUMMYFUNCTION("IMPORTRANGE(""https://docs.google.com/spreadsheets/d/11923uPwbBZFjjGgGUA6NLw09EwE0CqkOc4q9oUmW1yo/edit?usp=sharing"",""น่าน!I271"")"),60)</f>
        <v>60</v>
      </c>
      <c r="J376" s="188">
        <f ca="1">IFERROR(__xludf.DUMMYFUNCTION("IMPORTRANGE(""https://docs.google.com/spreadsheets/d/11923uPwbBZFjjGgGUA6NLw09EwE0CqkOc4q9oUmW1yo/edit?usp=sharing"",""น่าน!J271"")"),0)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IFERROR(__xludf.DUMMYFUNCTION("IMPORTRANGE(""https://docs.google.com/spreadsheets/d/11923uPwbBZFjjGgGUA6NLw09EwE0CqkOc4q9oUmW1yo/edit?usp=sharing"",""น่าน!I272"")"),60)</f>
        <v>60</v>
      </c>
      <c r="J377" s="203">
        <f ca="1">IFERROR(__xludf.DUMMYFUNCTION("IMPORTRANGE(""https://docs.google.com/spreadsheets/d/11923uPwbBZFjjGgGUA6NLw09EwE0CqkOc4q9oUmW1yo/edit?usp=sharing"",""น่าน!J272"")"),0)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IFERROR(__xludf.DUMMYFUNCTION("IMPORTRANGE(""https://docs.google.com/spreadsheets/d/11923uPwbBZFjjGgGUA6NLw09EwE0CqkOc4q9oUmW1yo/edit?usp=sharing"",""น่าน!J273"")"),0)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IFERROR(__xludf.DUMMYFUNCTION("IMPORTRANGE(""https://docs.google.com/spreadsheets/d/11923uPwbBZFjjGgGUA6NLw09EwE0CqkOc4q9oUmW1yo/edit?usp=sharing"",""น่าน!J274"")"),0)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IFERROR(__xludf.DUMMYFUNCTION("IMPORTRANGE(""https://docs.google.com/spreadsheets/d/11923uPwbBZFjjGgGUA6NLw09EwE0CqkOc4q9oUmW1yo/edit?usp=sharing"",""น่าน!I275"")"),1000)</f>
        <v>1000</v>
      </c>
      <c r="J380" s="370">
        <f ca="1">IFERROR(__xludf.DUMMYFUNCTION("IMPORTRANGE(""https://docs.google.com/spreadsheets/d/11923uPwbBZFjjGgGUA6NLw09EwE0CqkOc4q9oUmW1yo/edit?usp=sharing"",""น่าน!J275"")"),0)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IFERROR(__xludf.DUMMYFUNCTION("IMPORTRANGE(""https://docs.google.com/spreadsheets/d/11923uPwbBZFjjGgGUA6NLw09EwE0CqkOc4q9oUmW1yo/edit?usp=sharing"",""น่าน!L275"")"),1028520)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IFERROR(__xludf.DUMMYFUNCTION("IMPORTRANGE(""https://docs.google.com/spreadsheets/d/11923uPwbBZFjjGgGUA6NLw09EwE0CqkOc4q9oUmW1yo/edit?usp=sharing"",""น่าน!M275"")"),221848)</f>
        <v>221848</v>
      </c>
      <c r="O380" s="372">
        <f ca="1">+IF(L380&gt;0,N380*100/L380,0)</f>
        <v>21.569634037257419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IFERROR(__xludf.DUMMYFUNCTION("IMPORTRANGE(""https://docs.google.com/spreadsheets/d/11923uPwbBZFjjGgGUA6NLw09EwE0CqkOc4q9oUmW1yo/edit?usp=sharing"",""น่าน!I276"")"),100)</f>
        <v>100</v>
      </c>
      <c r="J381" s="370">
        <f ca="1">IFERROR(__xludf.DUMMYFUNCTION("IMPORTRANGE(""https://docs.google.com/spreadsheets/d/11923uPwbBZFjjGgGUA6NLw09EwE0CqkOc4q9oUmW1yo/edit?usp=sharing"",""น่าน!J276"")"),100)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IFERROR(__xludf.DUMMYFUNCTION("IMPORTRANGE(""https://docs.google.com/spreadsheets/d/11923uPwbBZFjjGgGUA6NLw09EwE0CqkOc4q9oUmW1yo/edit?usp=sharing"",""น่าน!L277"")"),0)</f>
        <v>0</v>
      </c>
      <c r="M382" s="164"/>
      <c r="N382" s="164">
        <f ca="1">IFERROR(__xludf.DUMMYFUNCTION("IMPORTRANGE(""https://docs.google.com/spreadsheets/d/11923uPwbBZFjjGgGUA6NLw09EwE0CqkOc4q9oUmW1yo/edit?usp=sharing"",""น่าน!M277"")"),0)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IFERROR(__xludf.DUMMYFUNCTION("IMPORTRANGE(""https://docs.google.com/spreadsheets/d/11923uPwbBZFjjGgGUA6NLw09EwE0CqkOc4q9oUmW1yo/edit?usp=sharing"",""น่าน!L278"")"),1028520)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IFERROR(__xludf.DUMMYFUNCTION("IMPORTRANGE(""https://docs.google.com/spreadsheets/d/11923uPwbBZFjjGgGUA6NLw09EwE0CqkOc4q9oUmW1yo/edit?usp=sharing"",""น่าน!M278"")"),221848)</f>
        <v>221848</v>
      </c>
      <c r="O383" s="165">
        <f t="shared" ca="1" si="109"/>
        <v>21.569634037257419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IFERROR(__xludf.DUMMYFUNCTION("IMPORTRANGE(""https://docs.google.com/spreadsheets/d/11923uPwbBZFjjGgGUA6NLw09EwE0CqkOc4q9oUmW1yo/edit?usp=sharing"",""น่าน!L279"")"),0)</f>
        <v>0</v>
      </c>
      <c r="M384" s="168"/>
      <c r="N384" s="168">
        <f ca="1">IFERROR(__xludf.DUMMYFUNCTION("IMPORTRANGE(""https://docs.google.com/spreadsheets/d/11923uPwbBZFjjGgGUA6NLw09EwE0CqkOc4q9oUmW1yo/edit?usp=sharing"",""น่าน!M279"")"),0)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IFERROR(__xludf.DUMMYFUNCTION("IMPORTRANGE(""https://docs.google.com/spreadsheets/d/11923uPwbBZFjjGgGUA6NLw09EwE0CqkOc4q9oUmW1yo/edit?usp=sharing"",""น่าน!L280"")"),1028520)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IFERROR(__xludf.DUMMYFUNCTION("IMPORTRANGE(""https://docs.google.com/spreadsheets/d/11923uPwbBZFjjGgGUA6NLw09EwE0CqkOc4q9oUmW1yo/edit?usp=sharing"",""น่าน!M280"")"),221848)</f>
        <v>221848</v>
      </c>
      <c r="O385" s="168">
        <f t="shared" ca="1" si="109"/>
        <v>21.569634037257419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IFERROR(__xludf.DUMMYFUNCTION("IMPORTRANGE(""https://docs.google.com/spreadsheets/d/11923uPwbBZFjjGgGUA6NLw09EwE0CqkOc4q9oUmW1yo/edit?usp=sharing"",""น่าน!M281"")"),124170)</f>
        <v>124170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IFERROR(__xludf.DUMMYFUNCTION("IMPORTRANGE(""https://docs.google.com/spreadsheets/d/11923uPwbBZFjjGgGUA6NLw09EwE0CqkOc4q9oUmW1yo/edit?usp=sharing"",""น่าน!M282"")"),0)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IFERROR(__xludf.DUMMYFUNCTION("IMPORTRANGE(""https://docs.google.com/spreadsheets/d/11923uPwbBZFjjGgGUA6NLw09EwE0CqkOc4q9oUmW1yo/edit?usp=sharing"",""น่าน!M283"")"),93558)</f>
        <v>93558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IFERROR(__xludf.DUMMYFUNCTION("IMPORTRANGE(""https://docs.google.com/spreadsheets/d/11923uPwbBZFjjGgGUA6NLw09EwE0CqkOc4q9oUmW1yo/edit?usp=sharing"",""น่าน!M284"")"),4120)</f>
        <v>4120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IFERROR(__xludf.DUMMYFUNCTION("IMPORTRANGE(""https://docs.google.com/spreadsheets/d/11923uPwbBZFjjGgGUA6NLw09EwE0CqkOc4q9oUmW1yo/edit?usp=sharing"",""น่าน!J286"")"),0)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IFERROR(__xludf.DUMMYFUNCTION("IMPORTRANGE(""https://docs.google.com/spreadsheets/d/11923uPwbBZFjjGgGUA6NLw09EwE0CqkOc4q9oUmW1yo/edit?usp=sharing"",""น่าน!J287"")"),1)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IFERROR(__xludf.DUMMYFUNCTION("IMPORTRANGE(""https://docs.google.com/spreadsheets/d/11923uPwbBZFjjGgGUA6NLw09EwE0CqkOc4q9oUmW1yo/edit?usp=sharing"",""น่าน!J288"")"),1)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IFERROR(__xludf.DUMMYFUNCTION("IMPORTRANGE(""https://docs.google.com/spreadsheets/d/11923uPwbBZFjjGgGUA6NLw09EwE0CqkOc4q9oUmW1yo/edit?usp=sharing"",""น่าน!J289"")"),1)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IFERROR(__xludf.DUMMYFUNCTION("IMPORTRANGE(""https://docs.google.com/spreadsheets/d/11923uPwbBZFjjGgGUA6NLw09EwE0CqkOc4q9oUmW1yo/edit?usp=sharing"",""น่าน!I291"")"),100)</f>
        <v>100</v>
      </c>
      <c r="J396" s="197">
        <f ca="1">IFERROR(__xludf.DUMMYFUNCTION("IMPORTRANGE(""https://docs.google.com/spreadsheets/d/11923uPwbBZFjjGgGUA6NLw09EwE0CqkOc4q9oUmW1yo/edit?usp=sharing"",""น่าน!J291"")"),100)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IFERROR(__xludf.DUMMYFUNCTION("IMPORTRANGE(""https://docs.google.com/spreadsheets/d/11923uPwbBZFjjGgGUA6NLw09EwE0CqkOc4q9oUmW1yo/edit?usp=sharing"",""น่าน!I292"")"),1000)</f>
        <v>1000</v>
      </c>
      <c r="J397" s="197">
        <f ca="1">IFERROR(__xludf.DUMMYFUNCTION("IMPORTRANGE(""https://docs.google.com/spreadsheets/d/11923uPwbBZFjjGgGUA6NLw09EwE0CqkOc4q9oUmW1yo/edit?usp=sharing"",""น่าน!J292"")"),0)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IFERROR(__xludf.DUMMYFUNCTION("IMPORTRANGE(""https://docs.google.com/spreadsheets/d/11923uPwbBZFjjGgGUA6NLw09EwE0CqkOc4q9oUmW1yo/edit?usp=sharing"",""น่าน!I293"")"),100)</f>
        <v>100</v>
      </c>
      <c r="J398" s="197">
        <f ca="1">IFERROR(__xludf.DUMMYFUNCTION("IMPORTRANGE(""https://docs.google.com/spreadsheets/d/11923uPwbBZFjjGgGUA6NLw09EwE0CqkOc4q9oUmW1yo/edit?usp=sharing"",""น่าน!J293"")"),0)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IFERROR(__xludf.DUMMYFUNCTION("IMPORTRANGE(""https://docs.google.com/spreadsheets/d/11923uPwbBZFjjGgGUA6NLw09EwE0CqkOc4q9oUmW1yo/edit?usp=sharing"",""น่าน!J294"")"),0)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IFERROR(__xludf.DUMMYFUNCTION("IMPORTRANGE(""https://docs.google.com/spreadsheets/d/11923uPwbBZFjjGgGUA6NLw09EwE0CqkOc4q9oUmW1yo/edit?usp=sharing"",""น่าน!J295"")"),0)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IFERROR(__xludf.DUMMYFUNCTION("IMPORTRANGE(""https://docs.google.com/spreadsheets/d/11923uPwbBZFjjGgGUA6NLw09EwE0CqkOc4q9oUmW1yo/edit?usp=sharing"",""น่าน!I296"")"),150)</f>
        <v>150</v>
      </c>
      <c r="J401" s="370">
        <f ca="1">IFERROR(__xludf.DUMMYFUNCTION("IMPORTRANGE(""https://docs.google.com/spreadsheets/d/11923uPwbBZFjjGgGUA6NLw09EwE0CqkOc4q9oUmW1yo/edit?usp=sharing"",""น่าน!J296"")"),150)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IFERROR(__xludf.DUMMYFUNCTION("IMPORTRANGE(""https://docs.google.com/spreadsheets/d/11923uPwbBZFjjGgGUA6NLw09EwE0CqkOc4q9oUmW1yo/edit?usp=sharing"",""น่าน!L296"")"),172800)</f>
        <v>172800</v>
      </c>
      <c r="M401" s="372"/>
      <c r="N401" s="372">
        <f ca="1">IFERROR(__xludf.DUMMYFUNCTION("IMPORTRANGE(""https://docs.google.com/spreadsheets/d/11923uPwbBZFjjGgGUA6NLw09EwE0CqkOc4q9oUmW1yo/edit?usp=sharing"",""น่าน!M296"")"),104663)</f>
        <v>104663</v>
      </c>
      <c r="O401" s="372">
        <f ca="1">+IF(L401&gt;0,N401*100/L401,0)</f>
        <v>60.56886574074074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IFERROR(__xludf.DUMMYFUNCTION("IMPORTRANGE(""https://docs.google.com/spreadsheets/d/11923uPwbBZFjjGgGUA6NLw09EwE0CqkOc4q9oUmW1yo/edit?usp=sharing"",""น่าน!I297"")"),50)</f>
        <v>50</v>
      </c>
      <c r="J402" s="370">
        <f ca="1">IFERROR(__xludf.DUMMYFUNCTION("IMPORTRANGE(""https://docs.google.com/spreadsheets/d/11923uPwbBZFjjGgGUA6NLw09EwE0CqkOc4q9oUmW1yo/edit?usp=sharing"",""น่าน!J297"")"),50)</f>
        <v>50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IFERROR(__xludf.DUMMYFUNCTION("IMPORTRANGE(""https://docs.google.com/spreadsheets/d/11923uPwbBZFjjGgGUA6NLw09EwE0CqkOc4q9oUmW1yo/edit?usp=sharing"",""น่าน!L298"")"),0)</f>
        <v>0</v>
      </c>
      <c r="M403" s="164"/>
      <c r="N403" s="168">
        <f ca="1">IFERROR(__xludf.DUMMYFUNCTION("IMPORTRANGE(""https://docs.google.com/spreadsheets/d/11923uPwbBZFjjGgGUA6NLw09EwE0CqkOc4q9oUmW1yo/edit?usp=sharing"",""น่าน!M298"")"),0)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IFERROR(__xludf.DUMMYFUNCTION("IMPORTRANGE(""https://docs.google.com/spreadsheets/d/11923uPwbBZFjjGgGUA6NLw09EwE0CqkOc4q9oUmW1yo/edit?usp=sharing"",""น่าน!L299"")"),172800)</f>
        <v>172800</v>
      </c>
      <c r="M404" s="165"/>
      <c r="N404" s="168">
        <f ca="1">IFERROR(__xludf.DUMMYFUNCTION("IMPORTRANGE(""https://docs.google.com/spreadsheets/d/11923uPwbBZFjjGgGUA6NLw09EwE0CqkOc4q9oUmW1yo/edit?usp=sharing"",""น่าน!M299"")"),104663)</f>
        <v>104663</v>
      </c>
      <c r="O404" s="168">
        <f t="shared" ca="1" si="112"/>
        <v>60.56886574074074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IFERROR(__xludf.DUMMYFUNCTION("IMPORTRANGE(""https://docs.google.com/spreadsheets/d/11923uPwbBZFjjGgGUA6NLw09EwE0CqkOc4q9oUmW1yo/edit?usp=sharing"",""น่าน!L300"")"),0)</f>
        <v>0</v>
      </c>
      <c r="M405" s="168"/>
      <c r="N405" s="168">
        <f ca="1">IFERROR(__xludf.DUMMYFUNCTION("IMPORTRANGE(""https://docs.google.com/spreadsheets/d/11923uPwbBZFjjGgGUA6NLw09EwE0CqkOc4q9oUmW1yo/edit?usp=sharing"",""น่าน!M300"")"),0)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IFERROR(__xludf.DUMMYFUNCTION("IMPORTRANGE(""https://docs.google.com/spreadsheets/d/11923uPwbBZFjjGgGUA6NLw09EwE0CqkOc4q9oUmW1yo/edit?usp=sharing"",""น่าน!L301"")"),172800)</f>
        <v>172800</v>
      </c>
      <c r="M406" s="168"/>
      <c r="N406" s="168">
        <f ca="1">IFERROR(__xludf.DUMMYFUNCTION("IMPORTRANGE(""https://docs.google.com/spreadsheets/d/11923uPwbBZFjjGgGUA6NLw09EwE0CqkOc4q9oUmW1yo/edit?usp=sharing"",""น่าน!M301"")"),104663)</f>
        <v>104663</v>
      </c>
      <c r="O406" s="168">
        <f t="shared" ca="1" si="112"/>
        <v>60.56886574074074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IFERROR(__xludf.DUMMYFUNCTION("IMPORTRANGE(""https://docs.google.com/spreadsheets/d/11923uPwbBZFjjGgGUA6NLw09EwE0CqkOc4q9oUmW1yo/edit?usp=sharing"",""น่าน!M302"")"),93943)</f>
        <v>93943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IFERROR(__xludf.DUMMYFUNCTION("IMPORTRANGE(""https://docs.google.com/spreadsheets/d/11923uPwbBZFjjGgGUA6NLw09EwE0CqkOc4q9oUmW1yo/edit?usp=sharing"",""น่าน!M303"")"),0)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IFERROR(__xludf.DUMMYFUNCTION("IMPORTRANGE(""https://docs.google.com/spreadsheets/d/11923uPwbBZFjjGgGUA6NLw09EwE0CqkOc4q9oUmW1yo/edit?usp=sharing"",""น่าน!M304"")"),0)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IFERROR(__xludf.DUMMYFUNCTION("IMPORTRANGE(""https://docs.google.com/spreadsheets/d/11923uPwbBZFjjGgGUA6NLw09EwE0CqkOc4q9oUmW1yo/edit?usp=sharing"",""น่าน!M305"")"),10720)</f>
        <v>10720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IFERROR(__xludf.DUMMYFUNCTION("IMPORTRANGE(""https://docs.google.com/spreadsheets/d/11923uPwbBZFjjGgGUA6NLw09EwE0CqkOc4q9oUmW1yo/edit?usp=sharing"",""น่าน!J307"")"),0)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IFERROR(__xludf.DUMMYFUNCTION("IMPORTRANGE(""https://docs.google.com/spreadsheets/d/11923uPwbBZFjjGgGUA6NLw09EwE0CqkOc4q9oUmW1yo/edit?usp=sharing"",""น่าน!J308"")"),1)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IFERROR(__xludf.DUMMYFUNCTION("IMPORTRANGE(""https://docs.google.com/spreadsheets/d/11923uPwbBZFjjGgGUA6NLw09EwE0CqkOc4q9oUmW1yo/edit?usp=sharing"",""น่าน!J309"")"),1)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IFERROR(__xludf.DUMMYFUNCTION("IMPORTRANGE(""https://docs.google.com/spreadsheets/d/11923uPwbBZFjjGgGUA6NLw09EwE0CqkOc4q9oUmW1yo/edit?usp=sharing"",""น่าน!J310"")"),1)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IFERROR(__xludf.DUMMYFUNCTION("IMPORTRANGE(""https://docs.google.com/spreadsheets/d/11923uPwbBZFjjGgGUA6NLw09EwE0CqkOc4q9oUmW1yo/edit?usp=sharing"",""น่าน!I311"")"),50)</f>
        <v>50</v>
      </c>
      <c r="J416" s="200">
        <f ca="1">IFERROR(__xludf.DUMMYFUNCTION("IMPORTRANGE(""https://docs.google.com/spreadsheets/d/11923uPwbBZFjjGgGUA6NLw09EwE0CqkOc4q9oUmW1yo/edit?usp=sharing"",""น่าน!J311"")"),50)</f>
        <v>50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IFERROR(__xludf.DUMMYFUNCTION("IMPORTRANGE(""https://docs.google.com/spreadsheets/d/11923uPwbBZFjjGgGUA6NLw09EwE0CqkOc4q9oUmW1yo/edit?usp=sharing"",""น่าน!I312"")"),10)</f>
        <v>10</v>
      </c>
      <c r="J417" s="391">
        <f ca="1">IFERROR(__xludf.DUMMYFUNCTION("IMPORTRANGE(""https://docs.google.com/spreadsheets/d/11923uPwbBZFjjGgGUA6NLw09EwE0CqkOc4q9oUmW1yo/edit?usp=sharing"",""น่าน!J312"")"),10)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IFERROR(__xludf.DUMMYFUNCTION("IMPORTRANGE(""https://docs.google.com/spreadsheets/d/11923uPwbBZFjjGgGUA6NLw09EwE0CqkOc4q9oUmW1yo/edit?usp=sharing"",""น่าน!I313"")"),30)</f>
        <v>30</v>
      </c>
      <c r="J418" s="392">
        <f ca="1">IFERROR(__xludf.DUMMYFUNCTION("IMPORTRANGE(""https://docs.google.com/spreadsheets/d/11923uPwbBZFjjGgGUA6NLw09EwE0CqkOc4q9oUmW1yo/edit?usp=sharing"",""น่าน!J313"")"),30)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IFERROR(__xludf.DUMMYFUNCTION("IMPORTRANGE(""https://docs.google.com/spreadsheets/d/11923uPwbBZFjjGgGUA6NLw09EwE0CqkOc4q9oUmW1yo/edit?usp=sharing"",""น่าน!I314"")"),10)</f>
        <v>10</v>
      </c>
      <c r="J419" s="393">
        <f ca="1">IFERROR(__xludf.DUMMYFUNCTION("IMPORTRANGE(""https://docs.google.com/spreadsheets/d/11923uPwbBZFjjGgGUA6NLw09EwE0CqkOc4q9oUmW1yo/edit?usp=sharing"",""น่าน!J314"")"),10)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IFERROR(__xludf.DUMMYFUNCTION("IMPORTRANGE(""https://docs.google.com/spreadsheets/d/11923uPwbBZFjjGgGUA6NLw09EwE0CqkOc4q9oUmW1yo/edit?usp=sharing"",""น่าน!I315"")"),10)</f>
        <v>10</v>
      </c>
      <c r="J420" s="393">
        <f ca="1">IFERROR(__xludf.DUMMYFUNCTION("IMPORTRANGE(""https://docs.google.com/spreadsheets/d/11923uPwbBZFjjGgGUA6NLw09EwE0CqkOc4q9oUmW1yo/edit?usp=sharing"",""น่าน!J315"")"),10)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IFERROR(__xludf.DUMMYFUNCTION("IMPORTRANGE(""https://docs.google.com/spreadsheets/d/11923uPwbBZFjjGgGUA6NLw09EwE0CqkOc4q9oUmW1yo/edit?usp=sharing"",""น่าน!I316"")"),30)</f>
        <v>30</v>
      </c>
      <c r="J421" s="391">
        <f ca="1">IFERROR(__xludf.DUMMYFUNCTION("IMPORTRANGE(""https://docs.google.com/spreadsheets/d/11923uPwbBZFjjGgGUA6NLw09EwE0CqkOc4q9oUmW1yo/edit?usp=sharing"",""น่าน!J316"")"),30)</f>
        <v>30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IFERROR(__xludf.DUMMYFUNCTION("IMPORTRANGE(""https://docs.google.com/spreadsheets/d/11923uPwbBZFjjGgGUA6NLw09EwE0CqkOc4q9oUmW1yo/edit?usp=sharing"",""น่าน!I317"")"),90)</f>
        <v>90</v>
      </c>
      <c r="J422" s="392">
        <f ca="1">IFERROR(__xludf.DUMMYFUNCTION("IMPORTRANGE(""https://docs.google.com/spreadsheets/d/11923uPwbBZFjjGgGUA6NLw09EwE0CqkOc4q9oUmW1yo/edit?usp=sharing"",""น่าน!J317"")"),90)</f>
        <v>90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IFERROR(__xludf.DUMMYFUNCTION("IMPORTRANGE(""https://docs.google.com/spreadsheets/d/11923uPwbBZFjjGgGUA6NLw09EwE0CqkOc4q9oUmW1yo/edit?usp=sharing"",""น่าน!I318"")"),30)</f>
        <v>30</v>
      </c>
      <c r="J423" s="393">
        <f ca="1">IFERROR(__xludf.DUMMYFUNCTION("IMPORTRANGE(""https://docs.google.com/spreadsheets/d/11923uPwbBZFjjGgGUA6NLw09EwE0CqkOc4q9oUmW1yo/edit?usp=sharing"",""น่าน!J318"")"),30)</f>
        <v>30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IFERROR(__xludf.DUMMYFUNCTION("IMPORTRANGE(""https://docs.google.com/spreadsheets/d/11923uPwbBZFjjGgGUA6NLw09EwE0CqkOc4q9oUmW1yo/edit?usp=sharing"",""น่าน!I319"")"),30)</f>
        <v>30</v>
      </c>
      <c r="J424" s="393">
        <f ca="1">IFERROR(__xludf.DUMMYFUNCTION("IMPORTRANGE(""https://docs.google.com/spreadsheets/d/11923uPwbBZFjjGgGUA6NLw09EwE0CqkOc4q9oUmW1yo/edit?usp=sharing"",""น่าน!J319"")"),30)</f>
        <v>30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IFERROR(__xludf.DUMMYFUNCTION("IMPORTRANGE(""https://docs.google.com/spreadsheets/d/11923uPwbBZFjjGgGUA6NLw09EwE0CqkOc4q9oUmW1yo/edit?usp=sharing"",""น่าน!I320"")"),30)</f>
        <v>30</v>
      </c>
      <c r="J425" s="393">
        <f ca="1">IFERROR(__xludf.DUMMYFUNCTION("IMPORTRANGE(""https://docs.google.com/spreadsheets/d/11923uPwbBZFjjGgGUA6NLw09EwE0CqkOc4q9oUmW1yo/edit?usp=sharing"",""น่าน!J320"")"),30)</f>
        <v>30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IFERROR(__xludf.DUMMYFUNCTION("IMPORTRANGE(""https://docs.google.com/spreadsheets/d/11923uPwbBZFjjGgGUA6NLw09EwE0CqkOc4q9oUmW1yo/edit?usp=sharing"",""น่าน!I321"")"),10)</f>
        <v>10</v>
      </c>
      <c r="J426" s="391">
        <f ca="1">IFERROR(__xludf.DUMMYFUNCTION("IMPORTRANGE(""https://docs.google.com/spreadsheets/d/11923uPwbBZFjjGgGUA6NLw09EwE0CqkOc4q9oUmW1yo/edit?usp=sharing"",""น่าน!J321"")"),10)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IFERROR(__xludf.DUMMYFUNCTION("IMPORTRANGE(""https://docs.google.com/spreadsheets/d/11923uPwbBZFjjGgGUA6NLw09EwE0CqkOc4q9oUmW1yo/edit?usp=sharing"",""น่าน!I322"")"),30)</f>
        <v>30</v>
      </c>
      <c r="J427" s="392">
        <f ca="1">IFERROR(__xludf.DUMMYFUNCTION("IMPORTRANGE(""https://docs.google.com/spreadsheets/d/11923uPwbBZFjjGgGUA6NLw09EwE0CqkOc4q9oUmW1yo/edit?usp=sharing"",""น่าน!J322"")"),30)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IFERROR(__xludf.DUMMYFUNCTION("IMPORTRANGE(""https://docs.google.com/spreadsheets/d/11923uPwbBZFjjGgGUA6NLw09EwE0CqkOc4q9oUmW1yo/edit?usp=sharing"",""น่าน!I323"")"),10)</f>
        <v>10</v>
      </c>
      <c r="J428" s="393">
        <f ca="1">IFERROR(__xludf.DUMMYFUNCTION("IMPORTRANGE(""https://docs.google.com/spreadsheets/d/11923uPwbBZFjjGgGUA6NLw09EwE0CqkOc4q9oUmW1yo/edit?usp=sharing"",""น่าน!J323"")"),10)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IFERROR(__xludf.DUMMYFUNCTION("IMPORTRANGE(""https://docs.google.com/spreadsheets/d/11923uPwbBZFjjGgGUA6NLw09EwE0CqkOc4q9oUmW1yo/edit?usp=sharing"",""น่าน!I324"")"),10)</f>
        <v>10</v>
      </c>
      <c r="J429" s="393">
        <f ca="1">IFERROR(__xludf.DUMMYFUNCTION("IMPORTRANGE(""https://docs.google.com/spreadsheets/d/11923uPwbBZFjjGgGUA6NLw09EwE0CqkOc4q9oUmW1yo/edit?usp=sharing"",""น่าน!J324"")"),10)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IFERROR(__xludf.DUMMYFUNCTION("IMPORTRANGE(""https://docs.google.com/spreadsheets/d/11923uPwbBZFjjGgGUA6NLw09EwE0CqkOc4q9oUmW1yo/edit?usp=sharing"",""น่าน!I325"")"),40)</f>
        <v>40</v>
      </c>
      <c r="J430" s="391">
        <f ca="1">IFERROR(__xludf.DUMMYFUNCTION("IMPORTRANGE(""https://docs.google.com/spreadsheets/d/11923uPwbBZFjjGgGUA6NLw09EwE0CqkOc4q9oUmW1yo/edit?usp=sharing"",""น่าน!J325"")"),0)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IFERROR(__xludf.DUMMYFUNCTION("IMPORTRANGE(""https://docs.google.com/spreadsheets/d/11923uPwbBZFjjGgGUA6NLw09EwE0CqkOc4q9oUmW1yo/edit?usp=sharing"",""น่าน!I326"")"),10)</f>
        <v>10</v>
      </c>
      <c r="J431" s="393">
        <f ca="1">IFERROR(__xludf.DUMMYFUNCTION("IMPORTRANGE(""https://docs.google.com/spreadsheets/d/11923uPwbBZFjjGgGUA6NLw09EwE0CqkOc4q9oUmW1yo/edit?usp=sharing"",""น่าน!J326"")"),0)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IFERROR(__xludf.DUMMYFUNCTION("IMPORTRANGE(""https://docs.google.com/spreadsheets/d/11923uPwbBZFjjGgGUA6NLw09EwE0CqkOc4q9oUmW1yo/edit?usp=sharing"",""น่าน!I327"")"),30)</f>
        <v>30</v>
      </c>
      <c r="J432" s="393">
        <f ca="1">IFERROR(__xludf.DUMMYFUNCTION("IMPORTRANGE(""https://docs.google.com/spreadsheets/d/11923uPwbBZFjjGgGUA6NLw09EwE0CqkOc4q9oUmW1yo/edit?usp=sharing"",""น่าน!J327"")"),0)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IFERROR(__xludf.DUMMYFUNCTION("IMPORTRANGE(""https://docs.google.com/spreadsheets/d/11923uPwbBZFjjGgGUA6NLw09EwE0CqkOc4q9oUmW1yo/edit?usp=sharing"",""น่าน!J328"")"),0)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IFERROR(__xludf.DUMMYFUNCTION("IMPORTRANGE(""https://docs.google.com/spreadsheets/d/11923uPwbBZFjjGgGUA6NLw09EwE0CqkOc4q9oUmW1yo/edit?usp=sharing"",""น่าน!J329"")"),0)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IFERROR(__xludf.DUMMYFUNCTION("IMPORTRANGE(""https://docs.google.com/spreadsheets/d/11923uPwbBZFjjGgGUA6NLw09EwE0CqkOc4q9oUmW1yo/edit?usp=sharing"",""น่าน!I330"")"),35)</f>
        <v>35</v>
      </c>
      <c r="J435" s="409">
        <f ca="1">IFERROR(__xludf.DUMMYFUNCTION("IMPORTRANGE(""https://docs.google.com/spreadsheets/d/11923uPwbBZFjjGgGUA6NLw09EwE0CqkOc4q9oUmW1yo/edit?usp=sharing"",""น่าน!J330"")"),35)</f>
        <v>35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IFERROR(__xludf.DUMMYFUNCTION("IMPORTRANGE(""https://docs.google.com/spreadsheets/d/11923uPwbBZFjjGgGUA6NLw09EwE0CqkOc4q9oUmW1yo/edit?usp=sharing"",""น่าน!L330"")"),128800)</f>
        <v>128800</v>
      </c>
      <c r="M435" s="411"/>
      <c r="N435" s="411">
        <f ca="1">IFERROR(__xludf.DUMMYFUNCTION("IMPORTRANGE(""https://docs.google.com/spreadsheets/d/11923uPwbBZFjjGgGUA6NLw09EwE0CqkOc4q9oUmW1yo/edit?usp=sharing"",""น่าน!M330"")"),88040)</f>
        <v>88040</v>
      </c>
      <c r="O435" s="411">
        <f t="shared" ref="O435:O439" ca="1" si="114">+IF(L435&gt;0,N435*100/L435,0)</f>
        <v>68.354037267080741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IFERROR(__xludf.DUMMYFUNCTION("IMPORTRANGE(""https://docs.google.com/spreadsheets/d/11923uPwbBZFjjGgGUA6NLw09EwE0CqkOc4q9oUmW1yo/edit?usp=sharing"",""น่าน!L331"")"),0)</f>
        <v>0</v>
      </c>
      <c r="M436" s="164"/>
      <c r="N436" s="168">
        <f ca="1">IFERROR(__xludf.DUMMYFUNCTION("IMPORTRANGE(""https://docs.google.com/spreadsheets/d/11923uPwbBZFjjGgGUA6NLw09EwE0CqkOc4q9oUmW1yo/edit?usp=sharing"",""น่าน!M331"")"),0)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IFERROR(__xludf.DUMMYFUNCTION("IMPORTRANGE(""https://docs.google.com/spreadsheets/d/11923uPwbBZFjjGgGUA6NLw09EwE0CqkOc4q9oUmW1yo/edit?usp=sharing"",""น่าน!L332"")"),128800)</f>
        <v>128800</v>
      </c>
      <c r="M437" s="165"/>
      <c r="N437" s="168">
        <f ca="1">IFERROR(__xludf.DUMMYFUNCTION("IMPORTRANGE(""https://docs.google.com/spreadsheets/d/11923uPwbBZFjjGgGUA6NLw09EwE0CqkOc4q9oUmW1yo/edit?usp=sharing"",""น่าน!M332"")"),88040)</f>
        <v>88040</v>
      </c>
      <c r="O437" s="168">
        <f t="shared" ca="1" si="114"/>
        <v>68.354037267080741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IFERROR(__xludf.DUMMYFUNCTION("IMPORTRANGE(""https://docs.google.com/spreadsheets/d/11923uPwbBZFjjGgGUA6NLw09EwE0CqkOc4q9oUmW1yo/edit?usp=sharing"",""น่าน!L333"")"),0)</f>
        <v>0</v>
      </c>
      <c r="M438" s="168"/>
      <c r="N438" s="168">
        <f ca="1">IFERROR(__xludf.DUMMYFUNCTION("IMPORTRANGE(""https://docs.google.com/spreadsheets/d/11923uPwbBZFjjGgGUA6NLw09EwE0CqkOc4q9oUmW1yo/edit?usp=sharing"",""น่าน!M333"")"),0)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IFERROR(__xludf.DUMMYFUNCTION("IMPORTRANGE(""https://docs.google.com/spreadsheets/d/11923uPwbBZFjjGgGUA6NLw09EwE0CqkOc4q9oUmW1yo/edit?usp=sharing"",""น่าน!L334"")"),128800)</f>
        <v>128800</v>
      </c>
      <c r="M439" s="168"/>
      <c r="N439" s="168">
        <f ca="1">IFERROR(__xludf.DUMMYFUNCTION("IMPORTRANGE(""https://docs.google.com/spreadsheets/d/11923uPwbBZFjjGgGUA6NLw09EwE0CqkOc4q9oUmW1yo/edit?usp=sharing"",""น่าน!M334"")"),88040)</f>
        <v>88040</v>
      </c>
      <c r="O439" s="168">
        <f t="shared" ca="1" si="114"/>
        <v>68.354037267080741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IFERROR(__xludf.DUMMYFUNCTION("IMPORTRANGE(""https://docs.google.com/spreadsheets/d/11923uPwbBZFjjGgGUA6NLw09EwE0CqkOc4q9oUmW1yo/edit?usp=sharing"",""น่าน!M335"")"),78000)</f>
        <v>78000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IFERROR(__xludf.DUMMYFUNCTION("IMPORTRANGE(""https://docs.google.com/spreadsheets/d/11923uPwbBZFjjGgGUA6NLw09EwE0CqkOc4q9oUmW1yo/edit?usp=sharing"",""น่าน!M336"")"),0)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IFERROR(__xludf.DUMMYFUNCTION("IMPORTRANGE(""https://docs.google.com/spreadsheets/d/11923uPwbBZFjjGgGUA6NLw09EwE0CqkOc4q9oUmW1yo/edit?usp=sharing"",""น่าน!M337"")"),0)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IFERROR(__xludf.DUMMYFUNCTION("IMPORTRANGE(""https://docs.google.com/spreadsheets/d/11923uPwbBZFjjGgGUA6NLw09EwE0CqkOc4q9oUmW1yo/edit?usp=sharing"",""น่าน!M338"")"),10040)</f>
        <v>10040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IFERROR(__xludf.DUMMYFUNCTION("IMPORTRANGE(""https://docs.google.com/spreadsheets/d/11923uPwbBZFjjGgGUA6NLw09EwE0CqkOc4q9oUmW1yo/edit?usp=sharing"",""น่าน!J340"")"),0)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IFERROR(__xludf.DUMMYFUNCTION("IMPORTRANGE(""https://docs.google.com/spreadsheets/d/11923uPwbBZFjjGgGUA6NLw09EwE0CqkOc4q9oUmW1yo/edit?usp=sharing"",""น่าน!J341"")"),1)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IFERROR(__xludf.DUMMYFUNCTION("IMPORTRANGE(""https://docs.google.com/spreadsheets/d/11923uPwbBZFjjGgGUA6NLw09EwE0CqkOc4q9oUmW1yo/edit?usp=sharing"",""น่าน!J342"")"),1)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IFERROR(__xludf.DUMMYFUNCTION("IMPORTRANGE(""https://docs.google.com/spreadsheets/d/11923uPwbBZFjjGgGUA6NLw09EwE0CqkOc4q9oUmW1yo/edit?usp=sharing"",""น่าน!J343"")"),1)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IFERROR(__xludf.DUMMYFUNCTION("IMPORTRANGE(""https://docs.google.com/spreadsheets/d/11923uPwbBZFjjGgGUA6NLw09EwE0CqkOc4q9oUmW1yo/edit?usp=sharing"",""น่าน!I344"")"),35)</f>
        <v>35</v>
      </c>
      <c r="J449" s="200">
        <f ca="1">IFERROR(__xludf.DUMMYFUNCTION("IMPORTRANGE(""https://docs.google.com/spreadsheets/d/11923uPwbBZFjjGgGUA6NLw09EwE0CqkOc4q9oUmW1yo/edit?usp=sharing"",""น่าน!J344"")"),35)</f>
        <v>35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IFERROR(__xludf.DUMMYFUNCTION("IMPORTRANGE(""https://docs.google.com/spreadsheets/d/11923uPwbBZFjjGgGUA6NLw09EwE0CqkOc4q9oUmW1yo/edit?usp=sharing"",""น่าน!I345"")"),15)</f>
        <v>15</v>
      </c>
      <c r="J450" s="188">
        <f ca="1">IFERROR(__xludf.DUMMYFUNCTION("IMPORTRANGE(""https://docs.google.com/spreadsheets/d/11923uPwbBZFjjGgGUA6NLw09EwE0CqkOc4q9oUmW1yo/edit?usp=sharing"",""น่าน!J345"")"),15)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IFERROR(__xludf.DUMMYFUNCTION("IMPORTRANGE(""https://docs.google.com/spreadsheets/d/11923uPwbBZFjjGgGUA6NLw09EwE0CqkOc4q9oUmW1yo/edit?usp=sharing"",""น่าน!I346"")"),20)</f>
        <v>20</v>
      </c>
      <c r="J451" s="187">
        <f ca="1">IFERROR(__xludf.DUMMYFUNCTION("IMPORTRANGE(""https://docs.google.com/spreadsheets/d/11923uPwbBZFjjGgGUA6NLw09EwE0CqkOc4q9oUmW1yo/edit?usp=sharing"",""น่าน!J346"")"),20)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IFERROR(__xludf.DUMMYFUNCTION("IMPORTRANGE(""https://docs.google.com/spreadsheets/d/11923uPwbBZFjjGgGUA6NLw09EwE0CqkOc4q9oUmW1yo/edit?usp=sharing"",""น่าน!I347"")"),0)</f>
        <v>0</v>
      </c>
      <c r="J452" s="187">
        <f ca="1">IFERROR(__xludf.DUMMYFUNCTION("IMPORTRANGE(""https://docs.google.com/spreadsheets/d/11923uPwbBZFjjGgGUA6NLw09EwE0CqkOc4q9oUmW1yo/edit?usp=sharing"",""น่าน!J347"")"),0)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IFERROR(__xludf.DUMMYFUNCTION("IMPORTRANGE(""https://docs.google.com/spreadsheets/d/11923uPwbBZFjjGgGUA6NLw09EwE0CqkOc4q9oUmW1yo/edit?usp=sharing"",""น่าน!J348"")"),0)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IFERROR(__xludf.DUMMYFUNCTION("IMPORTRANGE(""https://docs.google.com/spreadsheets/d/11923uPwbBZFjjGgGUA6NLw09EwE0CqkOc4q9oUmW1yo/edit?usp=sharing"",""น่าน!J349"")"),0)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IFERROR(__xludf.DUMMYFUNCTION("IMPORTRANGE(""https://docs.google.com/spreadsheets/d/11923uPwbBZFjjGgGUA6NLw09EwE0CqkOc4q9oUmW1yo/edit?usp=sharing"",""น่าน!I350"")"),56567)</f>
        <v>56567</v>
      </c>
      <c r="J455" s="370">
        <f ca="1">IFERROR(__xludf.DUMMYFUNCTION("IMPORTRANGE(""https://docs.google.com/spreadsheets/d/11923uPwbBZFjjGgGUA6NLw09EwE0CqkOc4q9oUmW1yo/edit?usp=sharing"",""น่าน!J350"")"),56593.38)</f>
        <v>56593.38</v>
      </c>
      <c r="K455" s="371">
        <f ca="1">IF(I455&gt;0,J455*100/I455,0)</f>
        <v>100.04663496384818</v>
      </c>
      <c r="L455" s="372">
        <f ca="1">IFERROR(__xludf.DUMMYFUNCTION("IMPORTRANGE(""https://docs.google.com/spreadsheets/d/11923uPwbBZFjjGgGUA6NLw09EwE0CqkOc4q9oUmW1yo/edit?usp=sharing"",""น่าน!L350"")"),616854)</f>
        <v>616854</v>
      </c>
      <c r="M455" s="372"/>
      <c r="N455" s="372">
        <f ca="1">IFERROR(__xludf.DUMMYFUNCTION("IMPORTRANGE(""https://docs.google.com/spreadsheets/d/11923uPwbBZFjjGgGUA6NLw09EwE0CqkOc4q9oUmW1yo/edit?usp=sharing"",""น่าน!M350"")"),128457)</f>
        <v>128457</v>
      </c>
      <c r="O455" s="372">
        <f t="shared" ref="O455:O459" ca="1" si="116">+IF(L455&gt;0,N455*100/L455,0)</f>
        <v>20.824538707700686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IFERROR(__xludf.DUMMYFUNCTION("IMPORTRANGE(""https://docs.google.com/spreadsheets/d/11923uPwbBZFjjGgGUA6NLw09EwE0CqkOc4q9oUmW1yo/edit?usp=sharing"",""น่าน!L351"")"),0)</f>
        <v>0</v>
      </c>
      <c r="M456" s="164"/>
      <c r="N456" s="168">
        <f ca="1">IFERROR(__xludf.DUMMYFUNCTION("IMPORTRANGE(""https://docs.google.com/spreadsheets/d/11923uPwbBZFjjGgGUA6NLw09EwE0CqkOc4q9oUmW1yo/edit?usp=sharing"",""น่าน!M351"")"),0)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IFERROR(__xludf.DUMMYFUNCTION("IMPORTRANGE(""https://docs.google.com/spreadsheets/d/11923uPwbBZFjjGgGUA6NLw09EwE0CqkOc4q9oUmW1yo/edit?usp=sharing"",""น่าน!L352"")"),616854)</f>
        <v>616854</v>
      </c>
      <c r="M457" s="165"/>
      <c r="N457" s="168">
        <f ca="1">IFERROR(__xludf.DUMMYFUNCTION("IMPORTRANGE(""https://docs.google.com/spreadsheets/d/11923uPwbBZFjjGgGUA6NLw09EwE0CqkOc4q9oUmW1yo/edit?usp=sharing"",""น่าน!M352"")"),128457)</f>
        <v>128457</v>
      </c>
      <c r="O457" s="168">
        <f t="shared" ca="1" si="116"/>
        <v>20.824538707700686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IFERROR(__xludf.DUMMYFUNCTION("IMPORTRANGE(""https://docs.google.com/spreadsheets/d/11923uPwbBZFjjGgGUA6NLw09EwE0CqkOc4q9oUmW1yo/edit?usp=sharing"",""น่าน!L353"")"),0)</f>
        <v>0</v>
      </c>
      <c r="M458" s="168"/>
      <c r="N458" s="168">
        <f ca="1">IFERROR(__xludf.DUMMYFUNCTION("IMPORTRANGE(""https://docs.google.com/spreadsheets/d/11923uPwbBZFjjGgGUA6NLw09EwE0CqkOc4q9oUmW1yo/edit?usp=sharing"",""น่าน!M353"")"),0)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IFERROR(__xludf.DUMMYFUNCTION("IMPORTRANGE(""https://docs.google.com/spreadsheets/d/11923uPwbBZFjjGgGUA6NLw09EwE0CqkOc4q9oUmW1yo/edit?usp=sharing"",""น่าน!L354"")"),616854)</f>
        <v>616854</v>
      </c>
      <c r="M459" s="168"/>
      <c r="N459" s="168">
        <f ca="1">IFERROR(__xludf.DUMMYFUNCTION("IMPORTRANGE(""https://docs.google.com/spreadsheets/d/11923uPwbBZFjjGgGUA6NLw09EwE0CqkOc4q9oUmW1yo/edit?usp=sharing"",""น่าน!M354"")"),128457)</f>
        <v>128457</v>
      </c>
      <c r="O459" s="168">
        <f t="shared" ca="1" si="116"/>
        <v>20.824538707700686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IFERROR(__xludf.DUMMYFUNCTION("IMPORTRANGE(""https://docs.google.com/spreadsheets/d/11923uPwbBZFjjGgGUA6NLw09EwE0CqkOc4q9oUmW1yo/edit?usp=sharing"",""น่าน!M355"")"),0)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IFERROR(__xludf.DUMMYFUNCTION("IMPORTRANGE(""https://docs.google.com/spreadsheets/d/11923uPwbBZFjjGgGUA6NLw09EwE0CqkOc4q9oUmW1yo/edit?usp=sharing"",""น่าน!M356"")"),0)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IFERROR(__xludf.DUMMYFUNCTION("IMPORTRANGE(""https://docs.google.com/spreadsheets/d/11923uPwbBZFjjGgGUA6NLw09EwE0CqkOc4q9oUmW1yo/edit?usp=sharing"",""น่าน!M357"")"),72957)</f>
        <v>72957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IFERROR(__xludf.DUMMYFUNCTION("IMPORTRANGE(""https://docs.google.com/spreadsheets/d/11923uPwbBZFjjGgGUA6NLw09EwE0CqkOc4q9oUmW1yo/edit?usp=sharing"",""น่าน!M358"")"),55500)</f>
        <v>55500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IFERROR(__xludf.DUMMYFUNCTION("IMPORTRANGE(""https://docs.google.com/spreadsheets/d/11923uPwbBZFjjGgGUA6NLw09EwE0CqkOc4q9oUmW1yo/edit?usp=sharing"",""น่าน!I359"")"),56567)</f>
        <v>56567</v>
      </c>
      <c r="J464" s="267">
        <f ca="1">IFERROR(__xludf.DUMMYFUNCTION("IMPORTRANGE(""https://docs.google.com/spreadsheets/d/11923uPwbBZFjjGgGUA6NLw09EwE0CqkOc4q9oUmW1yo/edit?usp=sharing"",""น่าน!J359"")"),56593.38)</f>
        <v>56593.38</v>
      </c>
      <c r="K464" s="268">
        <f t="shared" ref="K464:K515" ca="1" si="117">IF(I464&gt;0,J464*100/I464,0)</f>
        <v>100.04663496384818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IFERROR(__xludf.DUMMYFUNCTION("IMPORTRANGE(""https://docs.google.com/spreadsheets/d/11923uPwbBZFjjGgGUA6NLw09EwE0CqkOc4q9oUmW1yo/edit?usp=sharing"",""น่าน!I360"")"),56567)</f>
        <v>56567</v>
      </c>
      <c r="J465" s="420">
        <f ca="1">IFERROR(__xludf.DUMMYFUNCTION("IMPORTRANGE(""https://docs.google.com/spreadsheets/d/11923uPwbBZFjjGgGUA6NLw09EwE0CqkOc4q9oUmW1yo/edit?usp=sharing"",""น่าน!J360"")"),56592)</f>
        <v>56592</v>
      </c>
      <c r="K465" s="201">
        <f t="shared" ca="1" si="117"/>
        <v>100.04419537893118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IFERROR(__xludf.DUMMYFUNCTION("IMPORTRANGE(""https://docs.google.com/spreadsheets/d/11923uPwbBZFjjGgGUA6NLw09EwE0CqkOc4q9oUmW1yo/edit?usp=sharing"",""น่าน!I361"")"),9077)</f>
        <v>9077</v>
      </c>
      <c r="J466" s="420">
        <f ca="1">IFERROR(__xludf.DUMMYFUNCTION("IMPORTRANGE(""https://docs.google.com/spreadsheets/d/11923uPwbBZFjjGgGUA6NLw09EwE0CqkOc4q9oUmW1yo/edit?usp=sharing"",""น่าน!J361"")"),9077)</f>
        <v>9077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IFERROR(__xludf.DUMMYFUNCTION("IMPORTRANGE(""https://docs.google.com/spreadsheets/d/11923uPwbBZFjjGgGUA6NLw09EwE0CqkOc4q9oUmW1yo/edit?usp=sharing"",""น่าน!I362"")"),0)</f>
        <v>0</v>
      </c>
      <c r="J467" s="188">
        <f ca="1">IFERROR(__xludf.DUMMYFUNCTION("IMPORTRANGE(""https://docs.google.com/spreadsheets/d/11923uPwbBZFjjGgGUA6NLw09EwE0CqkOc4q9oUmW1yo/edit?usp=sharing"",""น่าน!J362"")"),52753)</f>
        <v>52753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IFERROR(__xludf.DUMMYFUNCTION("IMPORTRANGE(""https://docs.google.com/spreadsheets/d/11923uPwbBZFjjGgGUA6NLw09EwE0CqkOc4q9oUmW1yo/edit?usp=sharing"",""น่าน!I363"")"),0)</f>
        <v>0</v>
      </c>
      <c r="J468" s="188">
        <f ca="1">IFERROR(__xludf.DUMMYFUNCTION("IMPORTRANGE(""https://docs.google.com/spreadsheets/d/11923uPwbBZFjjGgGUA6NLw09EwE0CqkOc4q9oUmW1yo/edit?usp=sharing"",""น่าน!J363"")"),8626)</f>
        <v>8626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IFERROR(__xludf.DUMMYFUNCTION("IMPORTRANGE(""https://docs.google.com/spreadsheets/d/11923uPwbBZFjjGgGUA6NLw09EwE0CqkOc4q9oUmW1yo/edit?usp=sharing"",""น่าน!I364"")"),0)</f>
        <v>0</v>
      </c>
      <c r="J469" s="188">
        <f ca="1">IFERROR(__xludf.DUMMYFUNCTION("IMPORTRANGE(""https://docs.google.com/spreadsheets/d/11923uPwbBZFjjGgGUA6NLw09EwE0CqkOc4q9oUmW1yo/edit?usp=sharing"",""น่าน!J364"")"),3269)</f>
        <v>3269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IFERROR(__xludf.DUMMYFUNCTION("IMPORTRANGE(""https://docs.google.com/spreadsheets/d/11923uPwbBZFjjGgGUA6NLw09EwE0CqkOc4q9oUmW1yo/edit?usp=sharing"",""น่าน!I365"")"),0)</f>
        <v>0</v>
      </c>
      <c r="J470" s="188">
        <f ca="1">IFERROR(__xludf.DUMMYFUNCTION("IMPORTRANGE(""https://docs.google.com/spreadsheets/d/11923uPwbBZFjjGgGUA6NLw09EwE0CqkOc4q9oUmW1yo/edit?usp=sharing"",""น่าน!J365"")"),345)</f>
        <v>345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IFERROR(__xludf.DUMMYFUNCTION("IMPORTRANGE(""https://docs.google.com/spreadsheets/d/11923uPwbBZFjjGgGUA6NLw09EwE0CqkOc4q9oUmW1yo/edit?usp=sharing"",""น่าน!I366"")"),0)</f>
        <v>0</v>
      </c>
      <c r="J471" s="188">
        <f ca="1">IFERROR(__xludf.DUMMYFUNCTION("IMPORTRANGE(""https://docs.google.com/spreadsheets/d/11923uPwbBZFjjGgGUA6NLw09EwE0CqkOc4q9oUmW1yo/edit?usp=sharing"",""น่าน!J366"")"),570)</f>
        <v>570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IFERROR(__xludf.DUMMYFUNCTION("IMPORTRANGE(""https://docs.google.com/spreadsheets/d/11923uPwbBZFjjGgGUA6NLw09EwE0CqkOc4q9oUmW1yo/edit?usp=sharing"",""น่าน!I367"")"),0)</f>
        <v>0</v>
      </c>
      <c r="J472" s="188">
        <f ca="1">IFERROR(__xludf.DUMMYFUNCTION("IMPORTRANGE(""https://docs.google.com/spreadsheets/d/11923uPwbBZFjjGgGUA6NLw09EwE0CqkOc4q9oUmW1yo/edit?usp=sharing"",""น่าน!J367"")"),106)</f>
        <v>106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IFERROR(__xludf.DUMMYFUNCTION("IMPORTRANGE(""https://docs.google.com/spreadsheets/d/11923uPwbBZFjjGgGUA6NLw09EwE0CqkOc4q9oUmW1yo/edit?usp=sharing"",""น่าน!I368"")"),56567)</f>
        <v>56567</v>
      </c>
      <c r="J473" s="420">
        <f ca="1">IFERROR(__xludf.DUMMYFUNCTION("IMPORTRANGE(""https://docs.google.com/spreadsheets/d/11923uPwbBZFjjGgGUA6NLw09EwE0CqkOc4q9oUmW1yo/edit?usp=sharing"",""น่าน!J368"")"),56592.9399999999)</f>
        <v>56592.9399999999</v>
      </c>
      <c r="K473" s="201">
        <f t="shared" ca="1" si="117"/>
        <v>100.04585712517881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IFERROR(__xludf.DUMMYFUNCTION("IMPORTRANGE(""https://docs.google.com/spreadsheets/d/11923uPwbBZFjjGgGUA6NLw09EwE0CqkOc4q9oUmW1yo/edit?usp=sharing"",""น่าน!I369"")"),9077)</f>
        <v>9077</v>
      </c>
      <c r="J474" s="420">
        <f ca="1">IFERROR(__xludf.DUMMYFUNCTION("IMPORTRANGE(""https://docs.google.com/spreadsheets/d/11923uPwbBZFjjGgGUA6NLw09EwE0CqkOc4q9oUmW1yo/edit?usp=sharing"",""น่าน!J369"")"),9077)</f>
        <v>9077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IFERROR(__xludf.DUMMYFUNCTION("IMPORTRANGE(""https://docs.google.com/spreadsheets/d/11923uPwbBZFjjGgGUA6NLw09EwE0CqkOc4q9oUmW1yo/edit?usp=sharing"",""น่าน!I370"")"),0)</f>
        <v>0</v>
      </c>
      <c r="J475" s="188">
        <f ca="1">IFERROR(__xludf.DUMMYFUNCTION("IMPORTRANGE(""https://docs.google.com/spreadsheets/d/11923uPwbBZFjjGgGUA6NLw09EwE0CqkOc4q9oUmW1yo/edit?usp=sharing"",""น่าน!J370"")"),54262.56)</f>
        <v>54262.559999999998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IFERROR(__xludf.DUMMYFUNCTION("IMPORTRANGE(""https://docs.google.com/spreadsheets/d/11923uPwbBZFjjGgGUA6NLw09EwE0CqkOc4q9oUmW1yo/edit?usp=sharing"",""น่าน!I371"")"),0)</f>
        <v>0</v>
      </c>
      <c r="J476" s="188">
        <f ca="1">IFERROR(__xludf.DUMMYFUNCTION("IMPORTRANGE(""https://docs.google.com/spreadsheets/d/11923uPwbBZFjjGgGUA6NLw09EwE0CqkOc4q9oUmW1yo/edit?usp=sharing"",""น่าน!J371"")"),8784)</f>
        <v>8784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IFERROR(__xludf.DUMMYFUNCTION("IMPORTRANGE(""https://docs.google.com/spreadsheets/d/11923uPwbBZFjjGgGUA6NLw09EwE0CqkOc4q9oUmW1yo/edit?usp=sharing"",""น่าน!I372"")"),0)</f>
        <v>0</v>
      </c>
      <c r="J477" s="188">
        <f ca="1">IFERROR(__xludf.DUMMYFUNCTION("IMPORTRANGE(""https://docs.google.com/spreadsheets/d/11923uPwbBZFjjGgGUA6NLw09EwE0CqkOc4q9oUmW1yo/edit?usp=sharing"",""น่าน!J372"")"),1776.21)</f>
        <v>1776.21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IFERROR(__xludf.DUMMYFUNCTION("IMPORTRANGE(""https://docs.google.com/spreadsheets/d/11923uPwbBZFjjGgGUA6NLw09EwE0CqkOc4q9oUmW1yo/edit?usp=sharing"",""น่าน!I373"")"),0)</f>
        <v>0</v>
      </c>
      <c r="J478" s="188">
        <f ca="1">IFERROR(__xludf.DUMMYFUNCTION("IMPORTRANGE(""https://docs.google.com/spreadsheets/d/11923uPwbBZFjjGgGUA6NLw09EwE0CqkOc4q9oUmW1yo/edit?usp=sharing"",""น่าน!J373"")"),190)</f>
        <v>190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IFERROR(__xludf.DUMMYFUNCTION("IMPORTRANGE(""https://docs.google.com/spreadsheets/d/11923uPwbBZFjjGgGUA6NLw09EwE0CqkOc4q9oUmW1yo/edit?usp=sharing"",""น่าน!I374"")"),0)</f>
        <v>0</v>
      </c>
      <c r="J479" s="188">
        <f ca="1">IFERROR(__xludf.DUMMYFUNCTION("IMPORTRANGE(""https://docs.google.com/spreadsheets/d/11923uPwbBZFjjGgGUA6NLw09EwE0CqkOc4q9oUmW1yo/edit?usp=sharing"",""น่าน!J374"")"),554.17)</f>
        <v>554.16999999999996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IFERROR(__xludf.DUMMYFUNCTION("IMPORTRANGE(""https://docs.google.com/spreadsheets/d/11923uPwbBZFjjGgGUA6NLw09EwE0CqkOc4q9oUmW1yo/edit?usp=sharing"",""น่าน!I375"")"),0)</f>
        <v>0</v>
      </c>
      <c r="J480" s="188">
        <f ca="1">IFERROR(__xludf.DUMMYFUNCTION("IMPORTRANGE(""https://docs.google.com/spreadsheets/d/11923uPwbBZFjjGgGUA6NLw09EwE0CqkOc4q9oUmW1yo/edit?usp=sharing"",""น่าน!J375"")"),103)</f>
        <v>103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IFERROR(__xludf.DUMMYFUNCTION("IMPORTRANGE(""https://docs.google.com/spreadsheets/d/11923uPwbBZFjjGgGUA6NLw09EwE0CqkOc4q9oUmW1yo/edit?usp=sharing"",""น่าน!I376"")"),56567)</f>
        <v>56567</v>
      </c>
      <c r="J481" s="420">
        <f ca="1">IFERROR(__xludf.DUMMYFUNCTION("IMPORTRANGE(""https://docs.google.com/spreadsheets/d/11923uPwbBZFjjGgGUA6NLw09EwE0CqkOc4q9oUmW1yo/edit?usp=sharing"",""น่าน!J376"")"),56593.38)</f>
        <v>56593.38</v>
      </c>
      <c r="K481" s="201">
        <f t="shared" ca="1" si="117"/>
        <v>100.04663496384818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IFERROR(__xludf.DUMMYFUNCTION("IMPORTRANGE(""https://docs.google.com/spreadsheets/d/11923uPwbBZFjjGgGUA6NLw09EwE0CqkOc4q9oUmW1yo/edit?usp=sharing"",""น่าน!I377"")"),9077)</f>
        <v>9077</v>
      </c>
      <c r="J482" s="420">
        <f ca="1">IFERROR(__xludf.DUMMYFUNCTION("IMPORTRANGE(""https://docs.google.com/spreadsheets/d/11923uPwbBZFjjGgGUA6NLw09EwE0CqkOc4q9oUmW1yo/edit?usp=sharing"",""น่าน!J377"")"),9077)</f>
        <v>9077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IFERROR(__xludf.DUMMYFUNCTION("IMPORTRANGE(""https://docs.google.com/spreadsheets/d/11923uPwbBZFjjGgGUA6NLw09EwE0CqkOc4q9oUmW1yo/edit?usp=sharing"",""น่าน!I378"")"),0)</f>
        <v>0</v>
      </c>
      <c r="J483" s="188">
        <f ca="1">IFERROR(__xludf.DUMMYFUNCTION("IMPORTRANGE(""https://docs.google.com/spreadsheets/d/11923uPwbBZFjjGgGUA6NLw09EwE0CqkOc4q9oUmW1yo/edit?usp=sharing"",""น่าน!J378"")"),54263)</f>
        <v>54263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IFERROR(__xludf.DUMMYFUNCTION("IMPORTRANGE(""https://docs.google.com/spreadsheets/d/11923uPwbBZFjjGgGUA6NLw09EwE0CqkOc4q9oUmW1yo/edit?usp=sharing"",""น่าน!I379"")"),0)</f>
        <v>0</v>
      </c>
      <c r="J484" s="188">
        <f ca="1">IFERROR(__xludf.DUMMYFUNCTION("IMPORTRANGE(""https://docs.google.com/spreadsheets/d/11923uPwbBZFjjGgGUA6NLw09EwE0CqkOc4q9oUmW1yo/edit?usp=sharing"",""น่าน!J379"")"),8784)</f>
        <v>8784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IFERROR(__xludf.DUMMYFUNCTION("IMPORTRANGE(""https://docs.google.com/spreadsheets/d/11923uPwbBZFjjGgGUA6NLw09EwE0CqkOc4q9oUmW1yo/edit?usp=sharing"",""น่าน!I380"")"),0)</f>
        <v>0</v>
      </c>
      <c r="J485" s="188">
        <f ca="1">IFERROR(__xludf.DUMMYFUNCTION("IMPORTRANGE(""https://docs.google.com/spreadsheets/d/11923uPwbBZFjjGgGUA6NLw09EwE0CqkOc4q9oUmW1yo/edit?usp=sharing"",""น่าน!J380"")"),1748.72)</f>
        <v>1748.72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IFERROR(__xludf.DUMMYFUNCTION("IMPORTRANGE(""https://docs.google.com/spreadsheets/d/11923uPwbBZFjjGgGUA6NLw09EwE0CqkOc4q9oUmW1yo/edit?usp=sharing"",""น่าน!I381"")"),0)</f>
        <v>0</v>
      </c>
      <c r="J486" s="188">
        <f ca="1">IFERROR(__xludf.DUMMYFUNCTION("IMPORTRANGE(""https://docs.google.com/spreadsheets/d/11923uPwbBZFjjGgGUA6NLw09EwE0CqkOc4q9oUmW1yo/edit?usp=sharing"",""น่าน!J381"")"),186)</f>
        <v>186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IFERROR(__xludf.DUMMYFUNCTION("IMPORTRANGE(""https://docs.google.com/spreadsheets/d/11923uPwbBZFjjGgGUA6NLw09EwE0CqkOc4q9oUmW1yo/edit?usp=sharing"",""น่าน!I382"")"),0)</f>
        <v>0</v>
      </c>
      <c r="J487" s="420">
        <f ca="1">IFERROR(__xludf.DUMMYFUNCTION("IMPORTRANGE(""https://docs.google.com/spreadsheets/d/11923uPwbBZFjjGgGUA6NLw09EwE0CqkOc4q9oUmW1yo/edit?usp=sharing"",""น่าน!J382"")"),581.66)</f>
        <v>581.66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IFERROR(__xludf.DUMMYFUNCTION("IMPORTRANGE(""https://docs.google.com/spreadsheets/d/11923uPwbBZFjjGgGUA6NLw09EwE0CqkOc4q9oUmW1yo/edit?usp=sharing"",""น่าน!I383"")"),0)</f>
        <v>0</v>
      </c>
      <c r="J488" s="420">
        <f ca="1">IFERROR(__xludf.DUMMYFUNCTION("IMPORTRANGE(""https://docs.google.com/spreadsheets/d/11923uPwbBZFjjGgGUA6NLw09EwE0CqkOc4q9oUmW1yo/edit?usp=sharing"",""น่าน!J383"")"),107)</f>
        <v>107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IFERROR(__xludf.DUMMYFUNCTION("IMPORTRANGE(""https://docs.google.com/spreadsheets/d/11923uPwbBZFjjGgGUA6NLw09EwE0CqkOc4q9oUmW1yo/edit?usp=sharing"",""น่าน!I384"")"),0)</f>
        <v>0</v>
      </c>
      <c r="J489" s="188">
        <f ca="1">IFERROR(__xludf.DUMMYFUNCTION("IMPORTRANGE(""https://docs.google.com/spreadsheets/d/11923uPwbBZFjjGgGUA6NLw09EwE0CqkOc4q9oUmW1yo/edit?usp=sharing"",""น่าน!J384"")"),554.17)</f>
        <v>554.16999999999996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IFERROR(__xludf.DUMMYFUNCTION("IMPORTRANGE(""https://docs.google.com/spreadsheets/d/11923uPwbBZFjjGgGUA6NLw09EwE0CqkOc4q9oUmW1yo/edit?usp=sharing"",""น่าน!I385"")"),0)</f>
        <v>0</v>
      </c>
      <c r="J490" s="188">
        <f ca="1">IFERROR(__xludf.DUMMYFUNCTION("IMPORTRANGE(""https://docs.google.com/spreadsheets/d/11923uPwbBZFjjGgGUA6NLw09EwE0CqkOc4q9oUmW1yo/edit?usp=sharing"",""น่าน!J385"")"),103)</f>
        <v>103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IFERROR(__xludf.DUMMYFUNCTION("IMPORTRANGE(""https://docs.google.com/spreadsheets/d/11923uPwbBZFjjGgGUA6NLw09EwE0CqkOc4q9oUmW1yo/edit?usp=sharing"",""น่าน!I386"")"),0)</f>
        <v>0</v>
      </c>
      <c r="J491" s="188">
        <f ca="1">IFERROR(__xludf.DUMMYFUNCTION("IMPORTRANGE(""https://docs.google.com/spreadsheets/d/11923uPwbBZFjjGgGUA6NLw09EwE0CqkOc4q9oUmW1yo/edit?usp=sharing"",""น่าน!J386"")"),27.49)</f>
        <v>27.49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IFERROR(__xludf.DUMMYFUNCTION("IMPORTRANGE(""https://docs.google.com/spreadsheets/d/11923uPwbBZFjjGgGUA6NLw09EwE0CqkOc4q9oUmW1yo/edit?usp=sharing"",""น่าน!I387"")"),0)</f>
        <v>0</v>
      </c>
      <c r="J492" s="188">
        <f ca="1">IFERROR(__xludf.DUMMYFUNCTION("IMPORTRANGE(""https://docs.google.com/spreadsheets/d/11923uPwbBZFjjGgGUA6NLw09EwE0CqkOc4q9oUmW1yo/edit?usp=sharing"",""น่าน!J387"")"),4)</f>
        <v>4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IFERROR(__xludf.DUMMYFUNCTION("IMPORTRANGE(""https://docs.google.com/spreadsheets/d/11923uPwbBZFjjGgGUA6NLw09EwE0CqkOc4q9oUmW1yo/edit?usp=sharing"",""น่าน!I388"")"),0)</f>
        <v>0</v>
      </c>
      <c r="J493" s="188">
        <f ca="1">IFERROR(__xludf.DUMMYFUNCTION("IMPORTRANGE(""https://docs.google.com/spreadsheets/d/11923uPwbBZFjjGgGUA6NLw09EwE0CqkOc4q9oUmW1yo/edit?usp=sharing"",""น่าน!J388"")"),0)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IFERROR(__xludf.DUMMYFUNCTION("IMPORTRANGE(""https://docs.google.com/spreadsheets/d/11923uPwbBZFjjGgGUA6NLw09EwE0CqkOc4q9oUmW1yo/edit?usp=sharing"",""น่าน!I389"")"),0)</f>
        <v>0</v>
      </c>
      <c r="J494" s="436">
        <f ca="1">IFERROR(__xludf.DUMMYFUNCTION("IMPORTRANGE(""https://docs.google.com/spreadsheets/d/11923uPwbBZFjjGgGUA6NLw09EwE0CqkOc4q9oUmW1yo/edit?usp=sharing"",""น่าน!J389"")"),0)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IFERROR(__xludf.DUMMYFUNCTION("IMPORTRANGE(""https://docs.google.com/spreadsheets/d/11923uPwbBZFjjGgGUA6NLw09EwE0CqkOc4q9oUmW1yo/edit?usp=sharing"",""น่าน!I390"")"),0)</f>
        <v>0</v>
      </c>
      <c r="J495" s="436">
        <f ca="1">IFERROR(__xludf.DUMMYFUNCTION("IMPORTRANGE(""https://docs.google.com/spreadsheets/d/11923uPwbBZFjjGgGUA6NLw09EwE0CqkOc4q9oUmW1yo/edit?usp=sharing"",""น่าน!J390"")"),0)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IFERROR(__xludf.DUMMYFUNCTION("IMPORTRANGE(""https://docs.google.com/spreadsheets/d/11923uPwbBZFjjGgGUA6NLw09EwE0CqkOc4q9oUmW1yo/edit?usp=sharing"",""น่าน!I391"")"),0)</f>
        <v>0</v>
      </c>
      <c r="J496" s="436">
        <f ca="1">IFERROR(__xludf.DUMMYFUNCTION("IMPORTRANGE(""https://docs.google.com/spreadsheets/d/11923uPwbBZFjjGgGUA6NLw09EwE0CqkOc4q9oUmW1yo/edit?usp=sharing"",""น่าน!J391"")"),0)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IFERROR(__xludf.DUMMYFUNCTION("IMPORTRANGE(""https://docs.google.com/spreadsheets/d/11923uPwbBZFjjGgGUA6NLw09EwE0CqkOc4q9oUmW1yo/edit?usp=sharing"",""น่าน!I392"")"),575)</f>
        <v>575</v>
      </c>
      <c r="J497" s="443">
        <f ca="1">IFERROR(__xludf.DUMMYFUNCTION("IMPORTRANGE(""https://docs.google.com/spreadsheets/d/11923uPwbBZFjjGgGUA6NLw09EwE0CqkOc4q9oUmW1yo/edit?usp=sharing"",""น่าน!J392"")"),0)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IFERROR(__xludf.DUMMYFUNCTION("IMPORTRANGE(""https://docs.google.com/spreadsheets/d/11923uPwbBZFjjGgGUA6NLw09EwE0CqkOc4q9oUmW1yo/edit?usp=sharing"",""น่าน!I393"")"),575)</f>
        <v>575</v>
      </c>
      <c r="J498" s="420">
        <f ca="1">IFERROR(__xludf.DUMMYFUNCTION("IMPORTRANGE(""https://docs.google.com/spreadsheets/d/11923uPwbBZFjjGgGUA6NLw09EwE0CqkOc4q9oUmW1yo/edit?usp=sharing"",""น่าน!J393"")"),0)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IFERROR(__xludf.DUMMYFUNCTION("IMPORTRANGE(""https://docs.google.com/spreadsheets/d/11923uPwbBZFjjGgGUA6NLw09EwE0CqkOc4q9oUmW1yo/edit?usp=sharing"",""น่าน!I394"")"),187)</f>
        <v>187</v>
      </c>
      <c r="J499" s="420">
        <f ca="1">IFERROR(__xludf.DUMMYFUNCTION("IMPORTRANGE(""https://docs.google.com/spreadsheets/d/11923uPwbBZFjjGgGUA6NLw09EwE0CqkOc4q9oUmW1yo/edit?usp=sharing"",""น่าน!J394"")"),0)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IFERROR(__xludf.DUMMYFUNCTION("IMPORTRANGE(""https://docs.google.com/spreadsheets/d/11923uPwbBZFjjGgGUA6NLw09EwE0CqkOc4q9oUmW1yo/edit?usp=sharing"",""น่าน!I395"")"),0)</f>
        <v>0</v>
      </c>
      <c r="J500" s="162">
        <f ca="1">IFERROR(__xludf.DUMMYFUNCTION("IMPORTRANGE(""https://docs.google.com/spreadsheets/d/11923uPwbBZFjjGgGUA6NLw09EwE0CqkOc4q9oUmW1yo/edit?usp=sharing"",""น่าน!J395"")"),0)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IFERROR(__xludf.DUMMYFUNCTION("IMPORTRANGE(""https://docs.google.com/spreadsheets/d/11923uPwbBZFjjGgGUA6NLw09EwE0CqkOc4q9oUmW1yo/edit?usp=sharing"",""น่าน!I396"")"),0)</f>
        <v>0</v>
      </c>
      <c r="J501" s="162">
        <f ca="1">IFERROR(__xludf.DUMMYFUNCTION("IMPORTRANGE(""https://docs.google.com/spreadsheets/d/11923uPwbBZFjjGgGUA6NLw09EwE0CqkOc4q9oUmW1yo/edit?usp=sharing"",""น่าน!J396"")"),0)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IFERROR(__xludf.DUMMYFUNCTION("IMPORTRANGE(""https://docs.google.com/spreadsheets/d/11923uPwbBZFjjGgGUA6NLw09EwE0CqkOc4q9oUmW1yo/edit?usp=sharing"",""น่าน!I397"")"),0)</f>
        <v>0</v>
      </c>
      <c r="J502" s="188">
        <f ca="1">IFERROR(__xludf.DUMMYFUNCTION("IMPORTRANGE(""https://docs.google.com/spreadsheets/d/11923uPwbBZFjjGgGUA6NLw09EwE0CqkOc4q9oUmW1yo/edit?usp=sharing"",""น่าน!J397"")"),0)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IFERROR(__xludf.DUMMYFUNCTION("IMPORTRANGE(""https://docs.google.com/spreadsheets/d/11923uPwbBZFjjGgGUA6NLw09EwE0CqkOc4q9oUmW1yo/edit?usp=sharing"",""น่าน!I398"")"),0)</f>
        <v>0</v>
      </c>
      <c r="J503" s="197">
        <f ca="1">IFERROR(__xludf.DUMMYFUNCTION("IMPORTRANGE(""https://docs.google.com/spreadsheets/d/11923uPwbBZFjjGgGUA6NLw09EwE0CqkOc4q9oUmW1yo/edit?usp=sharing"",""น่าน!J398"")"),0)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IFERROR(__xludf.DUMMYFUNCTION("IMPORTRANGE(""https://docs.google.com/spreadsheets/d/11923uPwbBZFjjGgGUA6NLw09EwE0CqkOc4q9oUmW1yo/edit?usp=sharing"",""น่าน!I399"")"),0)</f>
        <v>0</v>
      </c>
      <c r="J504" s="188">
        <f ca="1">IFERROR(__xludf.DUMMYFUNCTION("IMPORTRANGE(""https://docs.google.com/spreadsheets/d/11923uPwbBZFjjGgGUA6NLw09EwE0CqkOc4q9oUmW1yo/edit?usp=sharing"",""น่าน!J399"")"),0)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IFERROR(__xludf.DUMMYFUNCTION("IMPORTRANGE(""https://docs.google.com/spreadsheets/d/11923uPwbBZFjjGgGUA6NLw09EwE0CqkOc4q9oUmW1yo/edit?usp=sharing"",""น่าน!I400"")"),0)</f>
        <v>0</v>
      </c>
      <c r="J505" s="197">
        <f ca="1">IFERROR(__xludf.DUMMYFUNCTION("IMPORTRANGE(""https://docs.google.com/spreadsheets/d/11923uPwbBZFjjGgGUA6NLw09EwE0CqkOc4q9oUmW1yo/edit?usp=sharing"",""น่าน!J400"")"),0)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IFERROR(__xludf.DUMMYFUNCTION("IMPORTRANGE(""https://docs.google.com/spreadsheets/d/11923uPwbBZFjjGgGUA6NLw09EwE0CqkOc4q9oUmW1yo/edit?usp=sharing"",""น่าน!I401"")"),0)</f>
        <v>0</v>
      </c>
      <c r="J506" s="188">
        <f ca="1">IFERROR(__xludf.DUMMYFUNCTION("IMPORTRANGE(""https://docs.google.com/spreadsheets/d/11923uPwbBZFjjGgGUA6NLw09EwE0CqkOc4q9oUmW1yo/edit?usp=sharing"",""น่าน!J401"")"),0)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IFERROR(__xludf.DUMMYFUNCTION("IMPORTRANGE(""https://docs.google.com/spreadsheets/d/11923uPwbBZFjjGgGUA6NLw09EwE0CqkOc4q9oUmW1yo/edit?usp=sharing"",""น่าน!I402"")"),0)</f>
        <v>0</v>
      </c>
      <c r="J507" s="197">
        <f ca="1">IFERROR(__xludf.DUMMYFUNCTION("IMPORTRANGE(""https://docs.google.com/spreadsheets/d/11923uPwbBZFjjGgGUA6NLw09EwE0CqkOc4q9oUmW1yo/edit?usp=sharing"",""น่าน!J402"")"),0)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IFERROR(__xludf.DUMMYFUNCTION("IMPORTRANGE(""https://docs.google.com/spreadsheets/d/11923uPwbBZFjjGgGUA6NLw09EwE0CqkOc4q9oUmW1yo/edit?usp=sharing"",""น่าน!I403"")"),0)</f>
        <v>0</v>
      </c>
      <c r="J508" s="162">
        <f ca="1">IFERROR(__xludf.DUMMYFUNCTION("IMPORTRANGE(""https://docs.google.com/spreadsheets/d/11923uPwbBZFjjGgGUA6NLw09EwE0CqkOc4q9oUmW1yo/edit?usp=sharing"",""น่าน!J403"")"),0)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IFERROR(__xludf.DUMMYFUNCTION("IMPORTRANGE(""https://docs.google.com/spreadsheets/d/11923uPwbBZFjjGgGUA6NLw09EwE0CqkOc4q9oUmW1yo/edit?usp=sharing"",""น่าน!I404"")"),0)</f>
        <v>0</v>
      </c>
      <c r="J509" s="162">
        <f ca="1">IFERROR(__xludf.DUMMYFUNCTION("IMPORTRANGE(""https://docs.google.com/spreadsheets/d/11923uPwbBZFjjGgGUA6NLw09EwE0CqkOc4q9oUmW1yo/edit?usp=sharing"",""น่าน!J404"")"),0)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IFERROR(__xludf.DUMMYFUNCTION("IMPORTRANGE(""https://docs.google.com/spreadsheets/d/11923uPwbBZFjjGgGUA6NLw09EwE0CqkOc4q9oUmW1yo/edit?usp=sharing"",""น่าน!I405"")"),0)</f>
        <v>0</v>
      </c>
      <c r="J510" s="197">
        <f ca="1">IFERROR(__xludf.DUMMYFUNCTION("IMPORTRANGE(""https://docs.google.com/spreadsheets/d/11923uPwbBZFjjGgGUA6NLw09EwE0CqkOc4q9oUmW1yo/edit?usp=sharing"",""น่าน!J405"")"),0)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IFERROR(__xludf.DUMMYFUNCTION("IMPORTRANGE(""https://docs.google.com/spreadsheets/d/11923uPwbBZFjjGgGUA6NLw09EwE0CqkOc4q9oUmW1yo/edit?usp=sharing"",""น่าน!I406"")"),0)</f>
        <v>0</v>
      </c>
      <c r="J511" s="197">
        <f ca="1">IFERROR(__xludf.DUMMYFUNCTION("IMPORTRANGE(""https://docs.google.com/spreadsheets/d/11923uPwbBZFjjGgGUA6NLw09EwE0CqkOc4q9oUmW1yo/edit?usp=sharing"",""น่าน!J406"")"),0)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IFERROR(__xludf.DUMMYFUNCTION("IMPORTRANGE(""https://docs.google.com/spreadsheets/d/11923uPwbBZFjjGgGUA6NLw09EwE0CqkOc4q9oUmW1yo/edit?usp=sharing"",""น่าน!I407"")"),0)</f>
        <v>0</v>
      </c>
      <c r="J512" s="197">
        <f ca="1">IFERROR(__xludf.DUMMYFUNCTION("IMPORTRANGE(""https://docs.google.com/spreadsheets/d/11923uPwbBZFjjGgGUA6NLw09EwE0CqkOc4q9oUmW1yo/edit?usp=sharing"",""น่าน!J407"")"),0)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IFERROR(__xludf.DUMMYFUNCTION("IMPORTRANGE(""https://docs.google.com/spreadsheets/d/11923uPwbBZFjjGgGUA6NLw09EwE0CqkOc4q9oUmW1yo/edit?usp=sharing"",""น่าน!I408"")"),0)</f>
        <v>0</v>
      </c>
      <c r="J513" s="197">
        <f ca="1">IFERROR(__xludf.DUMMYFUNCTION("IMPORTRANGE(""https://docs.google.com/spreadsheets/d/11923uPwbBZFjjGgGUA6NLw09EwE0CqkOc4q9oUmW1yo/edit?usp=sharing"",""น่าน!J408"")"),0)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IFERROR(__xludf.DUMMYFUNCTION("IMPORTRANGE(""https://docs.google.com/spreadsheets/d/11923uPwbBZFjjGgGUA6NLw09EwE0CqkOc4q9oUmW1yo/edit?usp=sharing"",""น่าน!I409"")"),0)</f>
        <v>0</v>
      </c>
      <c r="J514" s="197">
        <f ca="1">IFERROR(__xludf.DUMMYFUNCTION("IMPORTRANGE(""https://docs.google.com/spreadsheets/d/11923uPwbBZFjjGgGUA6NLw09EwE0CqkOc4q9oUmW1yo/edit?usp=sharing"",""น่าน!J409"")"),0)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IFERROR(__xludf.DUMMYFUNCTION("IMPORTRANGE(""https://docs.google.com/spreadsheets/d/11923uPwbBZFjjGgGUA6NLw09EwE0CqkOc4q9oUmW1yo/edit?usp=sharing"",""น่าน!I410"")"),0)</f>
        <v>0</v>
      </c>
      <c r="J515" s="197">
        <f ca="1">IFERROR(__xludf.DUMMYFUNCTION("IMPORTRANGE(""https://docs.google.com/spreadsheets/d/11923uPwbBZFjjGgGUA6NLw09EwE0CqkOc4q9oUmW1yo/edit?usp=sharing"",""น่าน!J410"")"),0)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IFERROR(__xludf.DUMMYFUNCTION("IMPORTRANGE(""https://docs.google.com/spreadsheets/d/11923uPwbBZFjjGgGUA6NLw09EwE0CqkOc4q9oUmW1yo/edit?usp=sharing"",""น่าน!I411"")"),0)</f>
        <v>0</v>
      </c>
      <c r="J516" s="267">
        <f ca="1">IFERROR(__xludf.DUMMYFUNCTION("IMPORTRANGE(""https://docs.google.com/spreadsheets/d/11923uPwbBZFjjGgGUA6NLw09EwE0CqkOc4q9oUmW1yo/edit?usp=sharing"",""น่าน!J411"")"),0)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IFERROR(__xludf.DUMMYFUNCTION("IMPORTRANGE(""https://docs.google.com/spreadsheets/d/11923uPwbBZFjjGgGUA6NLw09EwE0CqkOc4q9oUmW1yo/edit?usp=sharing"",""น่าน!I412"")"),0)</f>
        <v>0</v>
      </c>
      <c r="J517" s="284">
        <f ca="1">IFERROR(__xludf.DUMMYFUNCTION("IMPORTRANGE(""https://docs.google.com/spreadsheets/d/11923uPwbBZFjjGgGUA6NLw09EwE0CqkOc4q9oUmW1yo/edit?usp=sharing"",""น่าน!J412"")"),0)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IFERROR(__xludf.DUMMYFUNCTION("IMPORTRANGE(""https://docs.google.com/spreadsheets/d/11923uPwbBZFjjGgGUA6NLw09EwE0CqkOc4q9oUmW1yo/edit?usp=sharing"",""น่าน!I413"")"),0)</f>
        <v>0</v>
      </c>
      <c r="J518" s="284">
        <f ca="1">IFERROR(__xludf.DUMMYFUNCTION("IMPORTRANGE(""https://docs.google.com/spreadsheets/d/11923uPwbBZFjjGgGUA6NLw09EwE0CqkOc4q9oUmW1yo/edit?usp=sharing"",""น่าน!J413"")"),0)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IFERROR(__xludf.DUMMYFUNCTION("IMPORTRANGE(""https://docs.google.com/spreadsheets/d/11923uPwbBZFjjGgGUA6NLw09EwE0CqkOc4q9oUmW1yo/edit?usp=sharing"",""น่าน!I414"")"),0)</f>
        <v>0</v>
      </c>
      <c r="J519" s="187">
        <f ca="1">IFERROR(__xludf.DUMMYFUNCTION("IMPORTRANGE(""https://docs.google.com/spreadsheets/d/11923uPwbBZFjjGgGUA6NLw09EwE0CqkOc4q9oUmW1yo/edit?usp=sharing"",""น่าน!J414"")"),0)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IFERROR(__xludf.DUMMYFUNCTION("IMPORTRANGE(""https://docs.google.com/spreadsheets/d/11923uPwbBZFjjGgGUA6NLw09EwE0CqkOc4q9oUmW1yo/edit?usp=sharing"",""น่าน!I415"")"),0)</f>
        <v>0</v>
      </c>
      <c r="J520" s="187">
        <f ca="1">IFERROR(__xludf.DUMMYFUNCTION("IMPORTRANGE(""https://docs.google.com/spreadsheets/d/11923uPwbBZFjjGgGUA6NLw09EwE0CqkOc4q9oUmW1yo/edit?usp=sharing"",""น่าน!J415"")"),0)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IFERROR(__xludf.DUMMYFUNCTION("IMPORTRANGE(""https://docs.google.com/spreadsheets/d/11923uPwbBZFjjGgGUA6NLw09EwE0CqkOc4q9oUmW1yo/edit?usp=sharing"",""น่าน!I416"")"),0)</f>
        <v>0</v>
      </c>
      <c r="J521" s="187">
        <f ca="1">IFERROR(__xludf.DUMMYFUNCTION("IMPORTRANGE(""https://docs.google.com/spreadsheets/d/11923uPwbBZFjjGgGUA6NLw09EwE0CqkOc4q9oUmW1yo/edit?usp=sharing"",""น่าน!J416"")"),0)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IFERROR(__xludf.DUMMYFUNCTION("IMPORTRANGE(""https://docs.google.com/spreadsheets/d/11923uPwbBZFjjGgGUA6NLw09EwE0CqkOc4q9oUmW1yo/edit?usp=sharing"",""น่าน!I417"")"),0)</f>
        <v>0</v>
      </c>
      <c r="J522" s="187">
        <f ca="1">IFERROR(__xludf.DUMMYFUNCTION("IMPORTRANGE(""https://docs.google.com/spreadsheets/d/11923uPwbBZFjjGgGUA6NLw09EwE0CqkOc4q9oUmW1yo/edit?usp=sharing"",""น่าน!J417"")"),0)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IFERROR(__xludf.DUMMYFUNCTION("IMPORTRANGE(""https://docs.google.com/spreadsheets/d/11923uPwbBZFjjGgGUA6NLw09EwE0CqkOc4q9oUmW1yo/edit?usp=sharing"",""น่าน!I418"")"),0)</f>
        <v>0</v>
      </c>
      <c r="J523" s="187">
        <f ca="1">IFERROR(__xludf.DUMMYFUNCTION("IMPORTRANGE(""https://docs.google.com/spreadsheets/d/11923uPwbBZFjjGgGUA6NLw09EwE0CqkOc4q9oUmW1yo/edit?usp=sharing"",""น่าน!J418"")"),13)</f>
        <v>13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IFERROR(__xludf.DUMMYFUNCTION("IMPORTRANGE(""https://docs.google.com/spreadsheets/d/11923uPwbBZFjjGgGUA6NLw09EwE0CqkOc4q9oUmW1yo/edit?usp=sharing"",""น่าน!I419"")"),0)</f>
        <v>0</v>
      </c>
      <c r="J524" s="187">
        <f ca="1">IFERROR(__xludf.DUMMYFUNCTION("IMPORTRANGE(""https://docs.google.com/spreadsheets/d/11923uPwbBZFjjGgGUA6NLw09EwE0CqkOc4q9oUmW1yo/edit?usp=sharing"",""น่าน!J419"")"),4)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IFERROR(__xludf.DUMMYFUNCTION("IMPORTRANGE(""https://docs.google.com/spreadsheets/d/11923uPwbBZFjjGgGUA6NLw09EwE0CqkOc4q9oUmW1yo/edit?usp=sharing"",""น่าน!I420"")"),13)</f>
        <v>13</v>
      </c>
      <c r="J525" s="284">
        <f ca="1">IFERROR(__xludf.DUMMYFUNCTION("IMPORTRANGE(""https://docs.google.com/spreadsheets/d/11923uPwbBZFjjGgGUA6NLw09EwE0CqkOc4q9oUmW1yo/edit?usp=sharing"",""น่าน!J420"")"),0)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IFERROR(__xludf.DUMMYFUNCTION("IMPORTRANGE(""https://docs.google.com/spreadsheets/d/11923uPwbBZFjjGgGUA6NLw09EwE0CqkOc4q9oUmW1yo/edit?usp=sharing"",""น่าน!I421"")"),4)</f>
        <v>4</v>
      </c>
      <c r="J526" s="284">
        <f ca="1">IFERROR(__xludf.DUMMYFUNCTION("IMPORTRANGE(""https://docs.google.com/spreadsheets/d/11923uPwbBZFjjGgGUA6NLw09EwE0CqkOc4q9oUmW1yo/edit?usp=sharing"",""น่าน!J421"")"),0)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IFERROR(__xludf.DUMMYFUNCTION("IMPORTRANGE(""https://docs.google.com/spreadsheets/d/11923uPwbBZFjjGgGUA6NLw09EwE0CqkOc4q9oUmW1yo/edit?usp=sharing"",""น่าน!I422"")"),0)</f>
        <v>0</v>
      </c>
      <c r="J527" s="197">
        <f ca="1">IFERROR(__xludf.DUMMYFUNCTION("IMPORTRANGE(""https://docs.google.com/spreadsheets/d/11923uPwbBZFjjGgGUA6NLw09EwE0CqkOc4q9oUmW1yo/edit?usp=sharing"",""น่าน!J422"")"),0)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IFERROR(__xludf.DUMMYFUNCTION("IMPORTRANGE(""https://docs.google.com/spreadsheets/d/11923uPwbBZFjjGgGUA6NLw09EwE0CqkOc4q9oUmW1yo/edit?usp=sharing"",""น่าน!I423"")"),0)</f>
        <v>0</v>
      </c>
      <c r="J528" s="197">
        <f ca="1">IFERROR(__xludf.DUMMYFUNCTION("IMPORTRANGE(""https://docs.google.com/spreadsheets/d/11923uPwbBZFjjGgGUA6NLw09EwE0CqkOc4q9oUmW1yo/edit?usp=sharing"",""น่าน!J423"")"),0)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IFERROR(__xludf.DUMMYFUNCTION("IMPORTRANGE(""https://docs.google.com/spreadsheets/d/11923uPwbBZFjjGgGUA6NLw09EwE0CqkOc4q9oUmW1yo/edit?usp=sharing"",""น่าน!I424"")"),0)</f>
        <v>0</v>
      </c>
      <c r="J529" s="197">
        <f ca="1">IFERROR(__xludf.DUMMYFUNCTION("IMPORTRANGE(""https://docs.google.com/spreadsheets/d/11923uPwbBZFjjGgGUA6NLw09EwE0CqkOc4q9oUmW1yo/edit?usp=sharing"",""น่าน!J424"")"),0)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IFERROR(__xludf.DUMMYFUNCTION("IMPORTRANGE(""https://docs.google.com/spreadsheets/d/11923uPwbBZFjjGgGUA6NLw09EwE0CqkOc4q9oUmW1yo/edit?usp=sharing"",""น่าน!I425"")"),0)</f>
        <v>0</v>
      </c>
      <c r="J530" s="197">
        <f ca="1">IFERROR(__xludf.DUMMYFUNCTION("IMPORTRANGE(""https://docs.google.com/spreadsheets/d/11923uPwbBZFjjGgGUA6NLw09EwE0CqkOc4q9oUmW1yo/edit?usp=sharing"",""น่าน!J425"")"),0)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IFERROR(__xludf.DUMMYFUNCTION("IMPORTRANGE(""https://docs.google.com/spreadsheets/d/11923uPwbBZFjjGgGUA6NLw09EwE0CqkOc4q9oUmW1yo/edit?usp=sharing"",""น่าน!I426"")"),0)</f>
        <v>0</v>
      </c>
      <c r="J531" s="197">
        <f ca="1">IFERROR(__xludf.DUMMYFUNCTION("IMPORTRANGE(""https://docs.google.com/spreadsheets/d/11923uPwbBZFjjGgGUA6NLw09EwE0CqkOc4q9oUmW1yo/edit?usp=sharing"",""น่าน!J426"")"),0)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IFERROR(__xludf.DUMMYFUNCTION("IMPORTRANGE(""https://docs.google.com/spreadsheets/d/11923uPwbBZFjjGgGUA6NLw09EwE0CqkOc4q9oUmW1yo/edit?usp=sharing"",""น่าน!I427"")"),0)</f>
        <v>0</v>
      </c>
      <c r="J532" s="466">
        <f ca="1">IFERROR(__xludf.DUMMYFUNCTION("IMPORTRANGE(""https://docs.google.com/spreadsheets/d/11923uPwbBZFjjGgGUA6NLw09EwE0CqkOc4q9oUmW1yo/edit?usp=sharing"",""น่าน!J427"")"),0)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IFERROR(__xludf.DUMMYFUNCTION("IMPORTRANGE(""https://docs.google.com/spreadsheets/d/11923uPwbBZFjjGgGUA6NLw09EwE0CqkOc4q9oUmW1yo/edit?usp=sharing"",""น่าน!I428"")"),22)</f>
        <v>22</v>
      </c>
      <c r="J533" s="409">
        <f ca="1">IFERROR(__xludf.DUMMYFUNCTION("IMPORTRANGE(""https://docs.google.com/spreadsheets/d/11923uPwbBZFjjGgGUA6NLw09EwE0CqkOc4q9oUmW1yo/edit?usp=sharing"",""น่าน!J428"")"),22)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IFERROR(__xludf.DUMMYFUNCTION("IMPORTRANGE(""https://docs.google.com/spreadsheets/d/11923uPwbBZFjjGgGUA6NLw09EwE0CqkOc4q9oUmW1yo/edit?usp=sharing"",""น่าน!L428"")"),34340)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IFERROR(__xludf.DUMMYFUNCTION("IMPORTRANGE(""https://docs.google.com/spreadsheets/d/11923uPwbBZFjjGgGUA6NLw09EwE0CqkOc4q9oUmW1yo/edit?usp=sharing"",""น่าน!M428"")"),26076)</f>
        <v>26076</v>
      </c>
      <c r="O533" s="411">
        <f t="shared" ref="O533:O537" ca="1" si="118">+IF(L533&gt;0,N533*100/L533,0)</f>
        <v>75.934769947582993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IFERROR(__xludf.DUMMYFUNCTION("IMPORTRANGE(""https://docs.google.com/spreadsheets/d/11923uPwbBZFjjGgGUA6NLw09EwE0CqkOc4q9oUmW1yo/edit?usp=sharing"",""น่าน!L429"")"),0)</f>
        <v>0</v>
      </c>
      <c r="M534" s="164"/>
      <c r="N534" s="168">
        <f ca="1">IFERROR(__xludf.DUMMYFUNCTION("IMPORTRANGE(""https://docs.google.com/spreadsheets/d/11923uPwbBZFjjGgGUA6NLw09EwE0CqkOc4q9oUmW1yo/edit?usp=sharing"",""น่าน!M429"")"),0)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IFERROR(__xludf.DUMMYFUNCTION("IMPORTRANGE(""https://docs.google.com/spreadsheets/d/11923uPwbBZFjjGgGUA6NLw09EwE0CqkOc4q9oUmW1yo/edit?usp=sharing"",""น่าน!L430"")"),34340)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IFERROR(__xludf.DUMMYFUNCTION("IMPORTRANGE(""https://docs.google.com/spreadsheets/d/11923uPwbBZFjjGgGUA6NLw09EwE0CqkOc4q9oUmW1yo/edit?usp=sharing"",""น่าน!M430"")"),26076)</f>
        <v>26076</v>
      </c>
      <c r="O535" s="168">
        <f t="shared" ca="1" si="118"/>
        <v>75.934769947582993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IFERROR(__xludf.DUMMYFUNCTION("IMPORTRANGE(""https://docs.google.com/spreadsheets/d/11923uPwbBZFjjGgGUA6NLw09EwE0CqkOc4q9oUmW1yo/edit?usp=sharing"",""น่าน!L431"")"),0)</f>
        <v>0</v>
      </c>
      <c r="M536" s="168"/>
      <c r="N536" s="168">
        <f ca="1">IFERROR(__xludf.DUMMYFUNCTION("IMPORTRANGE(""https://docs.google.com/spreadsheets/d/11923uPwbBZFjjGgGUA6NLw09EwE0CqkOc4q9oUmW1yo/edit?usp=sharing"",""น่าน!M431"")"),0)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IFERROR(__xludf.DUMMYFUNCTION("IMPORTRANGE(""https://docs.google.com/spreadsheets/d/11923uPwbBZFjjGgGUA6NLw09EwE0CqkOc4q9oUmW1yo/edit?usp=sharing"",""น่าน!L432"")"),34340)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IFERROR(__xludf.DUMMYFUNCTION("IMPORTRANGE(""https://docs.google.com/spreadsheets/d/11923uPwbBZFjjGgGUA6NLw09EwE0CqkOc4q9oUmW1yo/edit?usp=sharing"",""น่าน!M432"")"),26076)</f>
        <v>26076</v>
      </c>
      <c r="O537" s="168">
        <f t="shared" ca="1" si="118"/>
        <v>75.934769947582993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IFERROR(__xludf.DUMMYFUNCTION("IMPORTRANGE(""https://docs.google.com/spreadsheets/d/11923uPwbBZFjjGgGUA6NLw09EwE0CqkOc4q9oUmW1yo/edit?usp=sharing"",""น่าน!M433"")"),18966)</f>
        <v>18966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IFERROR(__xludf.DUMMYFUNCTION("IMPORTRANGE(""https://docs.google.com/spreadsheets/d/11923uPwbBZFjjGgGUA6NLw09EwE0CqkOc4q9oUmW1yo/edit?usp=sharing"",""น่าน!M434"")"),0)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IFERROR(__xludf.DUMMYFUNCTION("IMPORTRANGE(""https://docs.google.com/spreadsheets/d/11923uPwbBZFjjGgGUA6NLw09EwE0CqkOc4q9oUmW1yo/edit?usp=sharing"",""น่าน!M435"")"),0)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IFERROR(__xludf.DUMMYFUNCTION("IMPORTRANGE(""https://docs.google.com/spreadsheets/d/11923uPwbBZFjjGgGUA6NLw09EwE0CqkOc4q9oUmW1yo/edit?usp=sharing"",""น่าน!M436"")"),7110)</f>
        <v>7110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IFERROR(__xludf.DUMMYFUNCTION("IMPORTRANGE(""https://docs.google.com/spreadsheets/d/11923uPwbBZFjjGgGUA6NLw09EwE0CqkOc4q9oUmW1yo/edit?usp=sharing"",""น่าน!J438"")"),0)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IFERROR(__xludf.DUMMYFUNCTION("IMPORTRANGE(""https://docs.google.com/spreadsheets/d/11923uPwbBZFjjGgGUA6NLw09EwE0CqkOc4q9oUmW1yo/edit?usp=sharing"",""น่าน!J439"")"),1)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IFERROR(__xludf.DUMMYFUNCTION("IMPORTRANGE(""https://docs.google.com/spreadsheets/d/11923uPwbBZFjjGgGUA6NLw09EwE0CqkOc4q9oUmW1yo/edit?usp=sharing"",""น่าน!J440"")"),1)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IFERROR(__xludf.DUMMYFUNCTION("IMPORTRANGE(""https://docs.google.com/spreadsheets/d/11923uPwbBZFjjGgGUA6NLw09EwE0CqkOc4q9oUmW1yo/edit?usp=sharing"",""น่าน!J441"")"),1)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IFERROR(__xludf.DUMMYFUNCTION("IMPORTRANGE(""https://docs.google.com/spreadsheets/d/11923uPwbBZFjjGgGUA6NLw09EwE0CqkOc4q9oUmW1yo/edit?usp=sharing"",""น่าน!I442"")"),22)</f>
        <v>22</v>
      </c>
      <c r="J547" s="188">
        <f ca="1">IFERROR(__xludf.DUMMYFUNCTION("IMPORTRANGE(""https://docs.google.com/spreadsheets/d/11923uPwbBZFjjGgGUA6NLw09EwE0CqkOc4q9oUmW1yo/edit?usp=sharing"",""น่าน!J442"")"),22)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IFERROR(__xludf.DUMMYFUNCTION("IMPORTRANGE(""https://docs.google.com/spreadsheets/d/11923uPwbBZFjjGgGUA6NLw09EwE0CqkOc4q9oUmW1yo/edit?usp=sharing"",""น่าน!J166"")"),0)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IFERROR(__xludf.DUMMYFUNCTION("IMPORTRANGE(""https://docs.google.com/spreadsheets/d/11923uPwbBZFjjGgGUA6NLw09EwE0CqkOc4q9oUmW1yo/edit?usp=sharing"",""น่าน!J444"")"),0)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IFERROR(__xludf.DUMMYFUNCTION("IMPORTRANGE(""https://docs.google.com/spreadsheets/d/11923uPwbBZFjjGgGUA6NLw09EwE0CqkOc4q9oUmW1yo/edit?usp=sharing"",""น่าน!J445"")"),0)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IFERROR(__xludf.DUMMYFUNCTION("IMPORTRANGE(""https://docs.google.com/spreadsheets/d/11923uPwbBZFjjGgGUA6NLw09EwE0CqkOc4q9oUmW1yo/edit?usp=sharing"",""น่าน!I446"")"),0)</f>
        <v>0</v>
      </c>
      <c r="J551" s="409">
        <f ca="1">IFERROR(__xludf.DUMMYFUNCTION("IMPORTRANGE(""https://docs.google.com/spreadsheets/d/11923uPwbBZFjjGgGUA6NLw09EwE0CqkOc4q9oUmW1yo/edit?usp=sharing"",""น่าน!J446"")"),0)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IFERROR(__xludf.DUMMYFUNCTION("IMPORTRANGE(""https://docs.google.com/spreadsheets/d/11923uPwbBZFjjGgGUA6NLw09EwE0CqkOc4q9oUmW1yo/edit?usp=sharing"",""น่าน!L446"")"),0)</f>
        <v>0</v>
      </c>
      <c r="M551" s="411"/>
      <c r="N551" s="411">
        <f ca="1">IFERROR(__xludf.DUMMYFUNCTION("IMPORTRANGE(""https://docs.google.com/spreadsheets/d/11923uPwbBZFjjGgGUA6NLw09EwE0CqkOc4q9oUmW1yo/edit?usp=sharing"",""น่าน!M446"")"),0)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IFERROR(__xludf.DUMMYFUNCTION("IMPORTRANGE(""https://docs.google.com/spreadsheets/d/11923uPwbBZFjjGgGUA6NLw09EwE0CqkOc4q9oUmW1yo/edit?usp=sharing"",""น่าน!L447"")"),0)</f>
        <v>0</v>
      </c>
      <c r="M552" s="164"/>
      <c r="N552" s="168">
        <f ca="1">IFERROR(__xludf.DUMMYFUNCTION("IMPORTRANGE(""https://docs.google.com/spreadsheets/d/11923uPwbBZFjjGgGUA6NLw09EwE0CqkOc4q9oUmW1yo/edit?usp=sharing"",""น่าน!M447"")"),0)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IFERROR(__xludf.DUMMYFUNCTION("IMPORTRANGE(""https://docs.google.com/spreadsheets/d/11923uPwbBZFjjGgGUA6NLw09EwE0CqkOc4q9oUmW1yo/edit?usp=sharing"",""น่าน!L448"")"),0)</f>
        <v>0</v>
      </c>
      <c r="M553" s="165"/>
      <c r="N553" s="168">
        <f ca="1">IFERROR(__xludf.DUMMYFUNCTION("IMPORTRANGE(""https://docs.google.com/spreadsheets/d/11923uPwbBZFjjGgGUA6NLw09EwE0CqkOc4q9oUmW1yo/edit?usp=sharing"",""น่าน!M448"")"),0)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IFERROR(__xludf.DUMMYFUNCTION("IMPORTRANGE(""https://docs.google.com/spreadsheets/d/11923uPwbBZFjjGgGUA6NLw09EwE0CqkOc4q9oUmW1yo/edit?usp=sharing"",""น่าน!L449"")"),0)</f>
        <v>0</v>
      </c>
      <c r="M554" s="168"/>
      <c r="N554" s="168">
        <f ca="1">IFERROR(__xludf.DUMMYFUNCTION("IMPORTRANGE(""https://docs.google.com/spreadsheets/d/11923uPwbBZFjjGgGUA6NLw09EwE0CqkOc4q9oUmW1yo/edit?usp=sharing"",""น่าน!M449"")"),0)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IFERROR(__xludf.DUMMYFUNCTION("IMPORTRANGE(""https://docs.google.com/spreadsheets/d/11923uPwbBZFjjGgGUA6NLw09EwE0CqkOc4q9oUmW1yo/edit?usp=sharing"",""น่าน!L450"")"),0)</f>
        <v>0</v>
      </c>
      <c r="M555" s="168"/>
      <c r="N555" s="168">
        <f ca="1">IFERROR(__xludf.DUMMYFUNCTION("IMPORTRANGE(""https://docs.google.com/spreadsheets/d/11923uPwbBZFjjGgGUA6NLw09EwE0CqkOc4q9oUmW1yo/edit?usp=sharing"",""น่าน!M450"")"),0)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IFERROR(__xludf.DUMMYFUNCTION("IMPORTRANGE(""https://docs.google.com/spreadsheets/d/11923uPwbBZFjjGgGUA6NLw09EwE0CqkOc4q9oUmW1yo/edit?usp=sharing"",""น่าน!M451"")"),0)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IFERROR(__xludf.DUMMYFUNCTION("IMPORTRANGE(""https://docs.google.com/spreadsheets/d/11923uPwbBZFjjGgGUA6NLw09EwE0CqkOc4q9oUmW1yo/edit?usp=sharing"",""น่าน!M452"")"),0)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IFERROR(__xludf.DUMMYFUNCTION("IMPORTRANGE(""https://docs.google.com/spreadsheets/d/11923uPwbBZFjjGgGUA6NLw09EwE0CqkOc4q9oUmW1yo/edit?usp=sharing"",""น่าน!M453"")"),0)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IFERROR(__xludf.DUMMYFUNCTION("IMPORTRANGE(""https://docs.google.com/spreadsheets/d/11923uPwbBZFjjGgGUA6NLw09EwE0CqkOc4q9oUmW1yo/edit?usp=sharing"",""น่าน!M454"")"),0)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IFERROR(__xludf.DUMMYFUNCTION("IMPORTRANGE(""https://docs.google.com/spreadsheets/d/11923uPwbBZFjjGgGUA6NLw09EwE0CqkOc4q9oUmW1yo/edit?usp=sharing"",""น่าน!I455"")"),0)</f>
        <v>0</v>
      </c>
      <c r="J560" s="162">
        <f ca="1">IFERROR(__xludf.DUMMYFUNCTION("IMPORTRANGE(""https://docs.google.com/spreadsheets/d/11923uPwbBZFjjGgGUA6NLw09EwE0CqkOc4q9oUmW1yo/edit?usp=sharing"",""น่าน!J455"")"),0)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IFERROR(__xludf.DUMMYFUNCTION("IMPORTRANGE(""https://docs.google.com/spreadsheets/d/11923uPwbBZFjjGgGUA6NLw09EwE0CqkOc4q9oUmW1yo/edit?usp=sharing"",""น่าน!I456"")"),0)</f>
        <v>0</v>
      </c>
      <c r="J561" s="203">
        <f ca="1">IFERROR(__xludf.DUMMYFUNCTION("IMPORTRANGE(""https://docs.google.com/spreadsheets/d/11923uPwbBZFjjGgGUA6NLw09EwE0CqkOc4q9oUmW1yo/edit?usp=sharing"",""น่าน!J456"")"),0)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IFERROR(__xludf.DUMMYFUNCTION("IMPORTRANGE(""https://docs.google.com/spreadsheets/d/11923uPwbBZFjjGgGUA6NLw09EwE0CqkOc4q9oUmW1yo/edit?usp=sharing"",""น่าน!I459"")"),2150)</f>
        <v>2150</v>
      </c>
      <c r="J564" s="370">
        <f ca="1">IFERROR(__xludf.DUMMYFUNCTION("IMPORTRANGE(""https://docs.google.com/spreadsheets/d/11923uPwbBZFjjGgGUA6NLw09EwE0CqkOc4q9oUmW1yo/edit?usp=sharing"",""น่าน!J459"")"),2071)</f>
        <v>2071</v>
      </c>
      <c r="K564" s="371">
        <f ca="1">IF(I564&gt;0,J564*100/I564,0)</f>
        <v>96.325581395348834</v>
      </c>
      <c r="L564" s="372">
        <f ca="1">IFERROR(__xludf.DUMMYFUNCTION("IMPORTRANGE(""https://docs.google.com/spreadsheets/d/11923uPwbBZFjjGgGUA6NLw09EwE0CqkOc4q9oUmW1yo/edit?usp=sharing"",""น่าน!L459"")"),144800)</f>
        <v>144800</v>
      </c>
      <c r="M564" s="372"/>
      <c r="N564" s="372">
        <f ca="1">IFERROR(__xludf.DUMMYFUNCTION("IMPORTRANGE(""https://docs.google.com/spreadsheets/d/11923uPwbBZFjjGgGUA6NLw09EwE0CqkOc4q9oUmW1yo/edit?usp=sharing"",""น่าน!M459"")"),70990)</f>
        <v>70990</v>
      </c>
      <c r="O564" s="372">
        <f t="shared" ref="O564:O568" ca="1" si="122">+IF(L564&gt;0,N564*100/L564,0)</f>
        <v>49.026243093922652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IFERROR(__xludf.DUMMYFUNCTION("IMPORTRANGE(""https://docs.google.com/spreadsheets/d/11923uPwbBZFjjGgGUA6NLw09EwE0CqkOc4q9oUmW1yo/edit?usp=sharing"",""น่าน!L460"")"),0)</f>
        <v>0</v>
      </c>
      <c r="M565" s="164"/>
      <c r="N565" s="168">
        <f ca="1">IFERROR(__xludf.DUMMYFUNCTION("IMPORTRANGE(""https://docs.google.com/spreadsheets/d/11923uPwbBZFjjGgGUA6NLw09EwE0CqkOc4q9oUmW1yo/edit?usp=sharing"",""น่าน!M460"")"),0)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IFERROR(__xludf.DUMMYFUNCTION("IMPORTRANGE(""https://docs.google.com/spreadsheets/d/11923uPwbBZFjjGgGUA6NLw09EwE0CqkOc4q9oUmW1yo/edit?usp=sharing"",""น่าน!L461"")"),144800)</f>
        <v>144800</v>
      </c>
      <c r="M566" s="165"/>
      <c r="N566" s="168">
        <f ca="1">IFERROR(__xludf.DUMMYFUNCTION("IMPORTRANGE(""https://docs.google.com/spreadsheets/d/11923uPwbBZFjjGgGUA6NLw09EwE0CqkOc4q9oUmW1yo/edit?usp=sharing"",""น่าน!M461"")"),70990)</f>
        <v>70990</v>
      </c>
      <c r="O566" s="168">
        <f t="shared" ca="1" si="122"/>
        <v>49.026243093922652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IFERROR(__xludf.DUMMYFUNCTION("IMPORTRANGE(""https://docs.google.com/spreadsheets/d/11923uPwbBZFjjGgGUA6NLw09EwE0CqkOc4q9oUmW1yo/edit?usp=sharing"",""น่าน!L462"")"),0)</f>
        <v>0</v>
      </c>
      <c r="M567" s="168"/>
      <c r="N567" s="168">
        <f ca="1">IFERROR(__xludf.DUMMYFUNCTION("IMPORTRANGE(""https://docs.google.com/spreadsheets/d/11923uPwbBZFjjGgGUA6NLw09EwE0CqkOc4q9oUmW1yo/edit?usp=sharing"",""น่าน!M462"")"),0)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IFERROR(__xludf.DUMMYFUNCTION("IMPORTRANGE(""https://docs.google.com/spreadsheets/d/11923uPwbBZFjjGgGUA6NLw09EwE0CqkOc4q9oUmW1yo/edit?usp=sharing"",""น่าน!L463"")"),144800)</f>
        <v>144800</v>
      </c>
      <c r="M568" s="168"/>
      <c r="N568" s="168">
        <f ca="1">IFERROR(__xludf.DUMMYFUNCTION("IMPORTRANGE(""https://docs.google.com/spreadsheets/d/11923uPwbBZFjjGgGUA6NLw09EwE0CqkOc4q9oUmW1yo/edit?usp=sharing"",""น่าน!M463"")"),70990)</f>
        <v>70990</v>
      </c>
      <c r="O568" s="168">
        <f t="shared" ca="1" si="122"/>
        <v>49.026243093922652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IFERROR(__xludf.DUMMYFUNCTION("IMPORTRANGE(""https://docs.google.com/spreadsheets/d/11923uPwbBZFjjGgGUA6NLw09EwE0CqkOc4q9oUmW1yo/edit?usp=sharing"",""น่าน!M464"")"),0)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IFERROR(__xludf.DUMMYFUNCTION("IMPORTRANGE(""https://docs.google.com/spreadsheets/d/11923uPwbBZFjjGgGUA6NLw09EwE0CqkOc4q9oUmW1yo/edit?usp=sharing"",""น่าน!M465"")"),0)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IFERROR(__xludf.DUMMYFUNCTION("IMPORTRANGE(""https://docs.google.com/spreadsheets/d/11923uPwbBZFjjGgGUA6NLw09EwE0CqkOc4q9oUmW1yo/edit?usp=sharing"",""น่าน!M466"")"),67830)</f>
        <v>67830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IFERROR(__xludf.DUMMYFUNCTION("IMPORTRANGE(""https://docs.google.com/spreadsheets/d/11923uPwbBZFjjGgGUA6NLw09EwE0CqkOc4q9oUmW1yo/edit?usp=sharing"",""น่าน!M467"")"),3160)</f>
        <v>3160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IFERROR(__xludf.DUMMYFUNCTION("IMPORTRANGE(""https://docs.google.com/spreadsheets/d/11923uPwbBZFjjGgGUA6NLw09EwE0CqkOc4q9oUmW1yo/edit?usp=sharing"",""น่าน!I468"")"),2150)</f>
        <v>2150</v>
      </c>
      <c r="J573" s="420">
        <f ca="1">IFERROR(__xludf.DUMMYFUNCTION("IMPORTRANGE(""https://docs.google.com/spreadsheets/d/11923uPwbBZFjjGgGUA6NLw09EwE0CqkOc4q9oUmW1yo/edit?usp=sharing"",""น่าน!J468"")"),2071)</f>
        <v>2071</v>
      </c>
      <c r="K573" s="201">
        <f ca="1">IF(I573&gt;0,J573*100/I573,0)</f>
        <v>96.325581395348834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IFERROR(__xludf.DUMMYFUNCTION("IMPORTRANGE(""https://docs.google.com/spreadsheets/d/11923uPwbBZFjjGgGUA6NLw09EwE0CqkOc4q9oUmW1yo/edit?usp=sharing"",""น่าน!I470"")"),0)</f>
        <v>0</v>
      </c>
      <c r="J575" s="197">
        <f ca="1">IFERROR(__xludf.DUMMYFUNCTION("IMPORTRANGE(""https://docs.google.com/spreadsheets/d/11923uPwbBZFjjGgGUA6NLw09EwE0CqkOc4q9oUmW1yo/edit?usp=sharing"",""น่าน!J470"")"),4)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IFERROR(__xludf.DUMMYFUNCTION("IMPORTRANGE(""https://docs.google.com/spreadsheets/d/11923uPwbBZFjjGgGUA6NLw09EwE0CqkOc4q9oUmW1yo/edit?usp=sharing"",""น่าน!I471"")"),0)</f>
        <v>0</v>
      </c>
      <c r="J576" s="197">
        <f ca="1">IFERROR(__xludf.DUMMYFUNCTION("IMPORTRANGE(""https://docs.google.com/spreadsheets/d/11923uPwbBZFjjGgGUA6NLw09EwE0CqkOc4q9oUmW1yo/edit?usp=sharing"",""น่าน!J471"")"),198)</f>
        <v>198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IFERROR(__xludf.DUMMYFUNCTION("IMPORTRANGE(""https://docs.google.com/spreadsheets/d/11923uPwbBZFjjGgGUA6NLw09EwE0CqkOc4q9oUmW1yo/edit?usp=sharing"",""น่าน!I472"")"),0)</f>
        <v>0</v>
      </c>
      <c r="J577" s="188">
        <f ca="1">IFERROR(__xludf.DUMMYFUNCTION("IMPORTRANGE(""https://docs.google.com/spreadsheets/d/11923uPwbBZFjjGgGUA6NLw09EwE0CqkOc4q9oUmW1yo/edit?usp=sharing"",""น่าน!J472"")"),1835)</f>
        <v>1835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IFERROR(__xludf.DUMMYFUNCTION("IMPORTRANGE(""https://docs.google.com/spreadsheets/d/11923uPwbBZFjjGgGUA6NLw09EwE0CqkOc4q9oUmW1yo/edit?usp=sharing"",""น่าน!I473"")"),0)</f>
        <v>0</v>
      </c>
      <c r="J578" s="197">
        <f ca="1">IFERROR(__xludf.DUMMYFUNCTION("IMPORTRANGE(""https://docs.google.com/spreadsheets/d/11923uPwbBZFjjGgGUA6NLw09EwE0CqkOc4q9oUmW1yo/edit?usp=sharing"",""น่าน!J473"")"),38)</f>
        <v>38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IFERROR(__xludf.DUMMYFUNCTION("IMPORTRANGE(""https://docs.google.com/spreadsheets/d/11923uPwbBZFjjGgGUA6NLw09EwE0CqkOc4q9oUmW1yo/edit?usp=sharing"",""น่าน!I474"")"),0)</f>
        <v>0</v>
      </c>
      <c r="J579" s="197">
        <f ca="1">IFERROR(__xludf.DUMMYFUNCTION("IMPORTRANGE(""https://docs.google.com/spreadsheets/d/11923uPwbBZFjjGgGUA6NLw09EwE0CqkOc4q9oUmW1yo/edit?usp=sharing"",""น่าน!J474"")"),0)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IFERROR(__xludf.DUMMYFUNCTION("IMPORTRANGE(""https://docs.google.com/spreadsheets/d/11923uPwbBZFjjGgGUA6NLw09EwE0CqkOc4q9oUmW1yo/edit?usp=sharing"",""น่าน!I475"")"),70)</f>
        <v>70</v>
      </c>
      <c r="J580" s="370">
        <f ca="1">IFERROR(__xludf.DUMMYFUNCTION("IMPORTRANGE(""https://docs.google.com/spreadsheets/d/11923uPwbBZFjjGgGUA6NLw09EwE0CqkOc4q9oUmW1yo/edit?usp=sharing"",""น่าน!J475"")"),5)</f>
        <v>5</v>
      </c>
      <c r="K580" s="371">
        <f ca="1">IF(I580&gt;0,J580*100/I580,0)</f>
        <v>7.1428571428571432</v>
      </c>
      <c r="L580" s="372">
        <f ca="1">IFERROR(__xludf.DUMMYFUNCTION("IMPORTRANGE(""https://docs.google.com/spreadsheets/d/11923uPwbBZFjjGgGUA6NLw09EwE0CqkOc4q9oUmW1yo/edit?usp=sharing"",""น่าน!L475"")"),298470)</f>
        <v>298470</v>
      </c>
      <c r="M580" s="372"/>
      <c r="N580" s="372">
        <f ca="1">IFERROR(__xludf.DUMMYFUNCTION("IMPORTRANGE(""https://docs.google.com/spreadsheets/d/11923uPwbBZFjjGgGUA6NLw09EwE0CqkOc4q9oUmW1yo/edit?usp=sharing"",""น่าน!M475"")"),76370)</f>
        <v>76370</v>
      </c>
      <c r="O580" s="372">
        <f t="shared" ref="O580:O584" ca="1" si="124">+IF(L580&gt;0,N580*100/L580,0)</f>
        <v>25.587161188729187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IFERROR(__xludf.DUMMYFUNCTION("IMPORTRANGE(""https://docs.google.com/spreadsheets/d/11923uPwbBZFjjGgGUA6NLw09EwE0CqkOc4q9oUmW1yo/edit?usp=sharing"",""น่าน!L476"")"),0)</f>
        <v>0</v>
      </c>
      <c r="M581" s="164"/>
      <c r="N581" s="168">
        <f ca="1">IFERROR(__xludf.DUMMYFUNCTION("IMPORTRANGE(""https://docs.google.com/spreadsheets/d/11923uPwbBZFjjGgGUA6NLw09EwE0CqkOc4q9oUmW1yo/edit?usp=sharing"",""น่าน!M476"")"),0)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IFERROR(__xludf.DUMMYFUNCTION("IMPORTRANGE(""https://docs.google.com/spreadsheets/d/11923uPwbBZFjjGgGUA6NLw09EwE0CqkOc4q9oUmW1yo/edit?usp=sharing"",""น่าน!L477"")"),298470)</f>
        <v>298470</v>
      </c>
      <c r="M582" s="165"/>
      <c r="N582" s="168">
        <f ca="1">IFERROR(__xludf.DUMMYFUNCTION("IMPORTRANGE(""https://docs.google.com/spreadsheets/d/11923uPwbBZFjjGgGUA6NLw09EwE0CqkOc4q9oUmW1yo/edit?usp=sharing"",""น่าน!M477"")"),76370)</f>
        <v>76370</v>
      </c>
      <c r="O582" s="168">
        <f t="shared" ca="1" si="124"/>
        <v>25.587161188729187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IFERROR(__xludf.DUMMYFUNCTION("IMPORTRANGE(""https://docs.google.com/spreadsheets/d/11923uPwbBZFjjGgGUA6NLw09EwE0CqkOc4q9oUmW1yo/edit?usp=sharing"",""น่าน!L478"")"),0)</f>
        <v>0</v>
      </c>
      <c r="M583" s="168"/>
      <c r="N583" s="168">
        <f ca="1">IFERROR(__xludf.DUMMYFUNCTION("IMPORTRANGE(""https://docs.google.com/spreadsheets/d/11923uPwbBZFjjGgGUA6NLw09EwE0CqkOc4q9oUmW1yo/edit?usp=sharing"",""น่าน!M478"")"),0)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IFERROR(__xludf.DUMMYFUNCTION("IMPORTRANGE(""https://docs.google.com/spreadsheets/d/11923uPwbBZFjjGgGUA6NLw09EwE0CqkOc4q9oUmW1yo/edit?usp=sharing"",""น่าน!L479"")"),298470)</f>
        <v>298470</v>
      </c>
      <c r="M584" s="168"/>
      <c r="N584" s="168">
        <f ca="1">IFERROR(__xludf.DUMMYFUNCTION("IMPORTRANGE(""https://docs.google.com/spreadsheets/d/11923uPwbBZFjjGgGUA6NLw09EwE0CqkOc4q9oUmW1yo/edit?usp=sharing"",""น่าน!M479"")"),76370)</f>
        <v>76370</v>
      </c>
      <c r="O584" s="168">
        <f t="shared" ca="1" si="124"/>
        <v>25.587161188729187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IFERROR(__xludf.DUMMYFUNCTION("IMPORTRANGE(""https://docs.google.com/spreadsheets/d/11923uPwbBZFjjGgGUA6NLw09EwE0CqkOc4q9oUmW1yo/edit?usp=sharing"",""น่าน!M480"")"),0)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IFERROR(__xludf.DUMMYFUNCTION("IMPORTRANGE(""https://docs.google.com/spreadsheets/d/11923uPwbBZFjjGgGUA6NLw09EwE0CqkOc4q9oUmW1yo/edit?usp=sharing"",""น่าน!M481"")"),0)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IFERROR(__xludf.DUMMYFUNCTION("IMPORTRANGE(""https://docs.google.com/spreadsheets/d/11923uPwbBZFjjGgGUA6NLw09EwE0CqkOc4q9oUmW1yo/edit?usp=sharing"",""น่าน!M482"")"),73320)</f>
        <v>73320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IFERROR(__xludf.DUMMYFUNCTION("IMPORTRANGE(""https://docs.google.com/spreadsheets/d/11923uPwbBZFjjGgGUA6NLw09EwE0CqkOc4q9oUmW1yo/edit?usp=sharing"",""น่าน!M483"")"),3050)</f>
        <v>3050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IFERROR(__xludf.DUMMYFUNCTION("IMPORTRANGE(""https://docs.google.com/spreadsheets/d/11923uPwbBZFjjGgGUA6NLw09EwE0CqkOc4q9oUmW1yo/edit?usp=sharing"",""น่าน!I484"")"),70)</f>
        <v>70</v>
      </c>
      <c r="J589" s="187">
        <f ca="1">IFERROR(__xludf.DUMMYFUNCTION("IMPORTRANGE(""https://docs.google.com/spreadsheets/d/11923uPwbBZFjjGgGUA6NLw09EwE0CqkOc4q9oUmW1yo/edit?usp=sharing"",""น่าน!J484"")"),56)</f>
        <v>56</v>
      </c>
      <c r="K589" s="163">
        <f t="shared" ref="K589:K596" ca="1" si="125">IF(I589&gt;0,J589*100/I589,0)</f>
        <v>80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IFERROR(__xludf.DUMMYFUNCTION("IMPORTRANGE(""https://docs.google.com/spreadsheets/d/11923uPwbBZFjjGgGUA6NLw09EwE0CqkOc4q9oUmW1yo/edit?usp=sharing"",""น่าน!I485"")"),0)</f>
        <v>0</v>
      </c>
      <c r="J590" s="187">
        <f ca="1">IFERROR(__xludf.DUMMYFUNCTION("IMPORTRANGE(""https://docs.google.com/spreadsheets/d/11923uPwbBZFjjGgGUA6NLw09EwE0CqkOc4q9oUmW1yo/edit?usp=sharing"",""น่าน!J485"")"),20.18)</f>
        <v>20.18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IFERROR(__xludf.DUMMYFUNCTION("IMPORTRANGE(""https://docs.google.com/spreadsheets/d/11923uPwbBZFjjGgGUA6NLw09EwE0CqkOc4q9oUmW1yo/edit?usp=sharing"",""น่าน!I486"")"),70)</f>
        <v>70</v>
      </c>
      <c r="J591" s="187">
        <f ca="1">IFERROR(__xludf.DUMMYFUNCTION("IMPORTRANGE(""https://docs.google.com/spreadsheets/d/11923uPwbBZFjjGgGUA6NLw09EwE0CqkOc4q9oUmW1yo/edit?usp=sharing"",""น่าน!J486"")"),52)</f>
        <v>52</v>
      </c>
      <c r="K591" s="163">
        <f t="shared" ca="1" si="125"/>
        <v>74.285714285714292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IFERROR(__xludf.DUMMYFUNCTION("IMPORTRANGE(""https://docs.google.com/spreadsheets/d/11923uPwbBZFjjGgGUA6NLw09EwE0CqkOc4q9oUmW1yo/edit?usp=sharing"",""น่าน!I487"")"),0)</f>
        <v>0</v>
      </c>
      <c r="J592" s="187">
        <f ca="1">IFERROR(__xludf.DUMMYFUNCTION("IMPORTRANGE(""https://docs.google.com/spreadsheets/d/11923uPwbBZFjjGgGUA6NLw09EwE0CqkOc4q9oUmW1yo/edit?usp=sharing"",""น่าน!J487"")"),17.18)</f>
        <v>17.18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IFERROR(__xludf.DUMMYFUNCTION("IMPORTRANGE(""https://docs.google.com/spreadsheets/d/11923uPwbBZFjjGgGUA6NLw09EwE0CqkOc4q9oUmW1yo/edit?usp=sharing"",""น่าน!I488"")"),70)</f>
        <v>70</v>
      </c>
      <c r="J593" s="187">
        <f ca="1">IFERROR(__xludf.DUMMYFUNCTION("IMPORTRANGE(""https://docs.google.com/spreadsheets/d/11923uPwbBZFjjGgGUA6NLw09EwE0CqkOc4q9oUmW1yo/edit?usp=sharing"",""น่าน!J488"")"),0)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IFERROR(__xludf.DUMMYFUNCTION("IMPORTRANGE(""https://docs.google.com/spreadsheets/d/11923uPwbBZFjjGgGUA6NLw09EwE0CqkOc4q9oUmW1yo/edit?usp=sharing"",""น่าน!I489"")"),0)</f>
        <v>0</v>
      </c>
      <c r="J594" s="187">
        <f ca="1">IFERROR(__xludf.DUMMYFUNCTION("IMPORTRANGE(""https://docs.google.com/spreadsheets/d/11923uPwbBZFjjGgGUA6NLw09EwE0CqkOc4q9oUmW1yo/edit?usp=sharing"",""น่าน!J489"")"),0)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IFERROR(__xludf.DUMMYFUNCTION("IMPORTRANGE(""https://docs.google.com/spreadsheets/d/11923uPwbBZFjjGgGUA6NLw09EwE0CqkOc4q9oUmW1yo/edit?usp=sharing"",""น่าน!I490"")"),70)</f>
        <v>70</v>
      </c>
      <c r="J595" s="187">
        <f ca="1">IFERROR(__xludf.DUMMYFUNCTION("IMPORTRANGE(""https://docs.google.com/spreadsheets/d/11923uPwbBZFjjGgGUA6NLw09EwE0CqkOc4q9oUmW1yo/edit?usp=sharing"",""น่าน!J490"")"),5)</f>
        <v>5</v>
      </c>
      <c r="K595" s="163">
        <f t="shared" ca="1" si="125"/>
        <v>7.1428571428571432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IFERROR(__xludf.DUMMYFUNCTION("IMPORTRANGE(""https://docs.google.com/spreadsheets/d/11923uPwbBZFjjGgGUA6NLw09EwE0CqkOc4q9oUmW1yo/edit?usp=sharing"",""น่าน!I491"")"),0)</f>
        <v>0</v>
      </c>
      <c r="J596" s="241">
        <f ca="1">IFERROR(__xludf.DUMMYFUNCTION("IMPORTRANGE(""https://docs.google.com/spreadsheets/d/11923uPwbBZFjjGgGUA6NLw09EwE0CqkOc4q9oUmW1yo/edit?usp=sharing"",""น่าน!J491"")"),1.16)</f>
        <v>1.1599999999999999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IFERROR(__xludf.DUMMYFUNCTION("IMPORTRANGE(""https://docs.google.com/spreadsheets/d/11923uPwbBZFjjGgGUA6NLw09EwE0CqkOc4q9oUmW1yo/edit?usp=sharing"",""น่าน!I492"")"),100)</f>
        <v>100</v>
      </c>
      <c r="J597" s="488">
        <f ca="1">IFERROR(__xludf.DUMMYFUNCTION("IMPORTRANGE(""https://docs.google.com/spreadsheets/d/11923uPwbBZFjjGgGUA6NLw09EwE0CqkOc4q9oUmW1yo/edit?usp=sharing"",""น่าน!J492"")"),0)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IFERROR(__xludf.DUMMYFUNCTION("IMPORTRANGE(""https://docs.google.com/spreadsheets/d/11923uPwbBZFjjGgGUA6NLw09EwE0CqkOc4q9oUmW1yo/edit?usp=sharing"",""น่าน!L492"")"),8900)</f>
        <v>8900</v>
      </c>
      <c r="M597" s="411"/>
      <c r="N597" s="411">
        <f ca="1">IFERROR(__xludf.DUMMYFUNCTION("IMPORTRANGE(""https://docs.google.com/spreadsheets/d/11923uPwbBZFjjGgGUA6NLw09EwE0CqkOc4q9oUmW1yo/edit?usp=sharing"",""น่าน!M492"")"),1800)</f>
        <v>1800</v>
      </c>
      <c r="O597" s="411">
        <f t="shared" ref="O597:O601" ca="1" si="126">+IF(L597&gt;0,N597*100/L597,0)</f>
        <v>20.224719101123597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IFERROR(__xludf.DUMMYFUNCTION("IMPORTRANGE(""https://docs.google.com/spreadsheets/d/11923uPwbBZFjjGgGUA6NLw09EwE0CqkOc4q9oUmW1yo/edit?usp=sharing"",""น่าน!L493"")"),0)</f>
        <v>0</v>
      </c>
      <c r="M598" s="164"/>
      <c r="N598" s="168">
        <f ca="1">IFERROR(__xludf.DUMMYFUNCTION("IMPORTRANGE(""https://docs.google.com/spreadsheets/d/11923uPwbBZFjjGgGUA6NLw09EwE0CqkOc4q9oUmW1yo/edit?usp=sharing"",""น่าน!M493"")"),0)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IFERROR(__xludf.DUMMYFUNCTION("IMPORTRANGE(""https://docs.google.com/spreadsheets/d/11923uPwbBZFjjGgGUA6NLw09EwE0CqkOc4q9oUmW1yo/edit?usp=sharing"",""น่าน!L494"")"),8900)</f>
        <v>8900</v>
      </c>
      <c r="M599" s="165"/>
      <c r="N599" s="168">
        <f ca="1">IFERROR(__xludf.DUMMYFUNCTION("IMPORTRANGE(""https://docs.google.com/spreadsheets/d/11923uPwbBZFjjGgGUA6NLw09EwE0CqkOc4q9oUmW1yo/edit?usp=sharing"",""น่าน!M494"")"),1800)</f>
        <v>1800</v>
      </c>
      <c r="O599" s="168">
        <f t="shared" ca="1" si="126"/>
        <v>20.224719101123597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IFERROR(__xludf.DUMMYFUNCTION("IMPORTRANGE(""https://docs.google.com/spreadsheets/d/11923uPwbBZFjjGgGUA6NLw09EwE0CqkOc4q9oUmW1yo/edit?usp=sharing"",""น่าน!L495"")"),0)</f>
        <v>0</v>
      </c>
      <c r="M600" s="168"/>
      <c r="N600" s="168">
        <f ca="1">IFERROR(__xludf.DUMMYFUNCTION("IMPORTRANGE(""https://docs.google.com/spreadsheets/d/11923uPwbBZFjjGgGUA6NLw09EwE0CqkOc4q9oUmW1yo/edit?usp=sharing"",""น่าน!M495"")"),0)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IFERROR(__xludf.DUMMYFUNCTION("IMPORTRANGE(""https://docs.google.com/spreadsheets/d/11923uPwbBZFjjGgGUA6NLw09EwE0CqkOc4q9oUmW1yo/edit?usp=sharing"",""น่าน!L496"")"),8900)</f>
        <v>8900</v>
      </c>
      <c r="M601" s="168"/>
      <c r="N601" s="168">
        <f ca="1">IFERROR(__xludf.DUMMYFUNCTION("IMPORTRANGE(""https://docs.google.com/spreadsheets/d/11923uPwbBZFjjGgGUA6NLw09EwE0CqkOc4q9oUmW1yo/edit?usp=sharing"",""น่าน!M496"")"),1800)</f>
        <v>1800</v>
      </c>
      <c r="O601" s="168">
        <f t="shared" ca="1" si="126"/>
        <v>20.224719101123597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IFERROR(__xludf.DUMMYFUNCTION("IMPORTRANGE(""https://docs.google.com/spreadsheets/d/11923uPwbBZFjjGgGUA6NLw09EwE0CqkOc4q9oUmW1yo/edit?usp=sharing"",""น่าน!M497"")"),0)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IFERROR(__xludf.DUMMYFUNCTION("IMPORTRANGE(""https://docs.google.com/spreadsheets/d/11923uPwbBZFjjGgGUA6NLw09EwE0CqkOc4q9oUmW1yo/edit?usp=sharing"",""น่าน!M498"")"),0)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IFERROR(__xludf.DUMMYFUNCTION("IMPORTRANGE(""https://docs.google.com/spreadsheets/d/11923uPwbBZFjjGgGUA6NLw09EwE0CqkOc4q9oUmW1yo/edit?usp=sharing"",""น่าน!M499"")"),0)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IFERROR(__xludf.DUMMYFUNCTION("IMPORTRANGE(""https://docs.google.com/spreadsheets/d/11923uPwbBZFjjGgGUA6NLw09EwE0CqkOc4q9oUmW1yo/edit?usp=sharing"",""น่าน!M500"")"),1800)</f>
        <v>1800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IFERROR(__xludf.DUMMYFUNCTION("IMPORTRANGE(""https://docs.google.com/spreadsheets/d/11923uPwbBZFjjGgGUA6NLw09EwE0CqkOc4q9oUmW1yo/edit?usp=sharing"",""น่าน!J502"")"),0)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IFERROR(__xludf.DUMMYFUNCTION("IMPORTRANGE(""https://docs.google.com/spreadsheets/d/11923uPwbBZFjjGgGUA6NLw09EwE0CqkOc4q9oUmW1yo/edit?usp=sharing"",""น่าน!J503"")"),1)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IFERROR(__xludf.DUMMYFUNCTION("IMPORTRANGE(""https://docs.google.com/spreadsheets/d/11923uPwbBZFjjGgGUA6NLw09EwE0CqkOc4q9oUmW1yo/edit?usp=sharing"",""น่าน!J166"")"),0)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IFERROR(__xludf.DUMMYFUNCTION("IMPORTRANGE(""https://docs.google.com/spreadsheets/d/11923uPwbBZFjjGgGUA6NLw09EwE0CqkOc4q9oUmW1yo/edit?usp=sharing"",""น่าน!J166"")"),0)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IFERROR(__xludf.DUMMYFUNCTION("IMPORTRANGE(""https://docs.google.com/spreadsheets/d/11923uPwbBZFjjGgGUA6NLw09EwE0CqkOc4q9oUmW1yo/edit?usp=sharing"",""น่าน!I506"")"),100)</f>
        <v>100</v>
      </c>
      <c r="J611" s="162">
        <f ca="1">IFERROR(__xludf.DUMMYFUNCTION("IMPORTRANGE(""https://docs.google.com/spreadsheets/d/11923uPwbBZFjjGgGUA6NLw09EwE0CqkOc4q9oUmW1yo/edit?usp=sharing"",""น่าน!J506"")"),0)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IFERROR(__xludf.DUMMYFUNCTION("IMPORTRANGE(""https://docs.google.com/spreadsheets/d/11923uPwbBZFjjGgGUA6NLw09EwE0CqkOc4q9oUmW1yo/edit?usp=sharing"",""น่าน!I507"")"),0)</f>
        <v>0</v>
      </c>
      <c r="J612" s="197">
        <f ca="1">IFERROR(__xludf.DUMMYFUNCTION("IMPORTRANGE(""https://docs.google.com/spreadsheets/d/11923uPwbBZFjjGgGUA6NLw09EwE0CqkOc4q9oUmW1yo/edit?usp=sharing"",""น่าน!J507"")"),164)</f>
        <v>164</v>
      </c>
      <c r="K612" s="163">
        <f t="shared" ca="1" si="127"/>
        <v>164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IFERROR(__xludf.DUMMYFUNCTION("IMPORTRANGE(""https://docs.google.com/spreadsheets/d/11923uPwbBZFjjGgGUA6NLw09EwE0CqkOc4q9oUmW1yo/edit?usp=sharing"",""น่าน!I508"")"),0)</f>
        <v>0</v>
      </c>
      <c r="J613" s="197">
        <f ca="1">IFERROR(__xludf.DUMMYFUNCTION("IMPORTRANGE(""https://docs.google.com/spreadsheets/d/11923uPwbBZFjjGgGUA6NLw09EwE0CqkOc4q9oUmW1yo/edit?usp=sharing"",""น่าน!J508"")"),129)</f>
        <v>129</v>
      </c>
      <c r="K613" s="163">
        <f t="shared" ca="1" si="127"/>
        <v>129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IFERROR(__xludf.DUMMYFUNCTION("IMPORTRANGE(""https://docs.google.com/spreadsheets/d/11923uPwbBZFjjGgGUA6NLw09EwE0CqkOc4q9oUmW1yo/edit?usp=sharing"",""น่าน!I509"")"),0)</f>
        <v>0</v>
      </c>
      <c r="J614" s="197">
        <f ca="1">IFERROR(__xludf.DUMMYFUNCTION("IMPORTRANGE(""https://docs.google.com/spreadsheets/d/11923uPwbBZFjjGgGUA6NLw09EwE0CqkOc4q9oUmW1yo/edit?usp=sharing"",""น่าน!J509"")"),129)</f>
        <v>129</v>
      </c>
      <c r="K614" s="163">
        <f t="shared" ca="1" si="127"/>
        <v>129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IFERROR(__xludf.DUMMYFUNCTION("IMPORTRANGE(""https://docs.google.com/spreadsheets/d/11923uPwbBZFjjGgGUA6NLw09EwE0CqkOc4q9oUmW1yo/edit?usp=sharing"",""น่าน!I510"")"),0)</f>
        <v>0</v>
      </c>
      <c r="J615" s="197">
        <f ca="1">IFERROR(__xludf.DUMMYFUNCTION("IMPORTRANGE(""https://docs.google.com/spreadsheets/d/11923uPwbBZFjjGgGUA6NLw09EwE0CqkOc4q9oUmW1yo/edit?usp=sharing"",""น่าน!J510"")"),129)</f>
        <v>129</v>
      </c>
      <c r="K615" s="163">
        <f t="shared" ca="1" si="127"/>
        <v>129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IFERROR(__xludf.DUMMYFUNCTION("IMPORTRANGE(""https://docs.google.com/spreadsheets/d/11923uPwbBZFjjGgGUA6NLw09EwE0CqkOc4q9oUmW1yo/edit?usp=sharing"",""น่าน!I511"")"),0)</f>
        <v>0</v>
      </c>
      <c r="J616" s="197">
        <f ca="1">IFERROR(__xludf.DUMMYFUNCTION("IMPORTRANGE(""https://docs.google.com/spreadsheets/d/11923uPwbBZFjjGgGUA6NLw09EwE0CqkOc4q9oUmW1yo/edit?usp=sharing"",""น่าน!J511"")"),0)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IFERROR(__xludf.DUMMYFUNCTION("IMPORTRANGE(""https://docs.google.com/spreadsheets/d/11923uPwbBZFjjGgGUA6NLw09EwE0CqkOc4q9oUmW1yo/edit?usp=sharing"",""น่าน!I512"")"),0)</f>
        <v>0</v>
      </c>
      <c r="J617" s="187">
        <f ca="1">IFERROR(__xludf.DUMMYFUNCTION("IMPORTRANGE(""https://docs.google.com/spreadsheets/d/11923uPwbBZFjjGgGUA6NLw09EwE0CqkOc4q9oUmW1yo/edit?usp=sharing"",""น่าน!J512"")"),0)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IFERROR(__xludf.DUMMYFUNCTION("IMPORTRANGE(""https://docs.google.com/spreadsheets/d/11923uPwbBZFjjGgGUA6NLw09EwE0CqkOc4q9oUmW1yo/edit?usp=sharing"",""น่าน!I513"")"),0)</f>
        <v>0</v>
      </c>
      <c r="J618" s="188">
        <f ca="1">IFERROR(__xludf.DUMMYFUNCTION("IMPORTRANGE(""https://docs.google.com/spreadsheets/d/11923uPwbBZFjjGgGUA6NLw09EwE0CqkOc4q9oUmW1yo/edit?usp=sharing"",""น่าน!J513"")"),0)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IFERROR(__xludf.DUMMYFUNCTION("IMPORTRANGE(""https://docs.google.com/spreadsheets/d/11923uPwbBZFjjGgGUA6NLw09EwE0CqkOc4q9oUmW1yo/edit?usp=sharing"",""น่าน!I514"")"),0)</f>
        <v>0</v>
      </c>
      <c r="J619" s="188">
        <f ca="1">IFERROR(__xludf.DUMMYFUNCTION("IMPORTRANGE(""https://docs.google.com/spreadsheets/d/11923uPwbBZFjjGgGUA6NLw09EwE0CqkOc4q9oUmW1yo/edit?usp=sharing"",""น่าน!J514"")"),0)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IFERROR(__xludf.DUMMYFUNCTION("IMPORTRANGE(""https://docs.google.com/spreadsheets/d/11923uPwbBZFjjGgGUA6NLw09EwE0CqkOc4q9oUmW1yo/edit?usp=sharing"",""น่าน!I515"")"),0)</f>
        <v>0</v>
      </c>
      <c r="J620" s="202">
        <f ca="1">IFERROR(__xludf.DUMMYFUNCTION("IMPORTRANGE(""https://docs.google.com/spreadsheets/d/11923uPwbBZFjjGgGUA6NLw09EwE0CqkOc4q9oUmW1yo/edit?usp=sharing"",""น่าน!J515"")"),0)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IFERROR(__xludf.DUMMYFUNCTION("IMPORTRANGE(""https://docs.google.com/spreadsheets/d/11923uPwbBZFjjGgGUA6NLw09EwE0CqkOc4q9oUmW1yo/edit?usp=sharing"",""น่าน!I516"")"),0)</f>
        <v>0</v>
      </c>
      <c r="J621" s="202">
        <f ca="1">IFERROR(__xludf.DUMMYFUNCTION("IMPORTRANGE(""https://docs.google.com/spreadsheets/d/11923uPwbBZFjjGgGUA6NLw09EwE0CqkOc4q9oUmW1yo/edit?usp=sharing"",""น่าน!J516"")"),0)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IFERROR(__xludf.DUMMYFUNCTION("IMPORTRANGE(""https://docs.google.com/spreadsheets/d/11923uPwbBZFjjGgGUA6NLw09EwE0CqkOc4q9oUmW1yo/edit?usp=sharing"",""น่าน!I517"")"),0)</f>
        <v>0</v>
      </c>
      <c r="J622" s="188">
        <f ca="1">IFERROR(__xludf.DUMMYFUNCTION("IMPORTRANGE(""https://docs.google.com/spreadsheets/d/11923uPwbBZFjjGgGUA6NLw09EwE0CqkOc4q9oUmW1yo/edit?usp=sharing"",""น่าน!J517"")"),0)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IFERROR(__xludf.DUMMYFUNCTION("IMPORTRANGE(""https://docs.google.com/spreadsheets/d/11923uPwbBZFjjGgGUA6NLw09EwE0CqkOc4q9oUmW1yo/edit?usp=sharing"",""น่าน!I518"")"),0)</f>
        <v>0</v>
      </c>
      <c r="J623" s="188">
        <f ca="1">IFERROR(__xludf.DUMMYFUNCTION("IMPORTRANGE(""https://docs.google.com/spreadsheets/d/11923uPwbBZFjjGgGUA6NLw09EwE0CqkOc4q9oUmW1yo/edit?usp=sharing"",""น่าน!J518"")"),0)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IFERROR(__xludf.DUMMYFUNCTION("IMPORTRANGE(""https://docs.google.com/spreadsheets/d/11923uPwbBZFjjGgGUA6NLw09EwE0CqkOc4q9oUmW1yo/edit?usp=sharing"",""น่าน!I519"")"),0)</f>
        <v>0</v>
      </c>
      <c r="J624" s="187">
        <f ca="1">IFERROR(__xludf.DUMMYFUNCTION("IMPORTRANGE(""https://docs.google.com/spreadsheets/d/11923uPwbBZFjjGgGUA6NLw09EwE0CqkOc4q9oUmW1yo/edit?usp=sharing"",""น่าน!J519"")"),0)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IFERROR(__xludf.DUMMYFUNCTION("IMPORTRANGE(""https://docs.google.com/spreadsheets/d/11923uPwbBZFjjGgGUA6NLw09EwE0CqkOc4q9oUmW1yo/edit?usp=sharing"",""น่าน!I520"")"),0)</f>
        <v>0</v>
      </c>
      <c r="J625" s="188">
        <f ca="1">IFERROR(__xludf.DUMMYFUNCTION("IMPORTRANGE(""https://docs.google.com/spreadsheets/d/11923uPwbBZFjjGgGUA6NLw09EwE0CqkOc4q9oUmW1yo/edit?usp=sharing"",""น่าน!J520"")"),0)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IFERROR(__xludf.DUMMYFUNCTION("IMPORTRANGE(""https://docs.google.com/spreadsheets/d/11923uPwbBZFjjGgGUA6NLw09EwE0CqkOc4q9oUmW1yo/edit?usp=sharing"",""น่าน!I521"")"),0)</f>
        <v>0</v>
      </c>
      <c r="J626" s="188">
        <f ca="1">IFERROR(__xludf.DUMMYFUNCTION("IMPORTRANGE(""https://docs.google.com/spreadsheets/d/11923uPwbBZFjjGgGUA6NLw09EwE0CqkOc4q9oUmW1yo/edit?usp=sharing"",""น่าน!J521"")"),0)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IFERROR(__xludf.DUMMYFUNCTION("IMPORTRANGE(""https://docs.google.com/spreadsheets/d/11923uPwbBZFjjGgGUA6NLw09EwE0CqkOc4q9oUmW1yo/edit?usp=sharing"",""น่าน!I523"")"),5152563.63)</f>
        <v>5152563.63</v>
      </c>
      <c r="J628" s="341">
        <f ca="1">IFERROR(__xludf.DUMMYFUNCTION("IMPORTRANGE(""https://docs.google.com/spreadsheets/d/11923uPwbBZFjjGgGUA6NLw09EwE0CqkOc4q9oUmW1yo/edit?usp=sharing"",""น่าน!J523"")"),3202842.17)</f>
        <v>3202842.17</v>
      </c>
      <c r="K628" s="342">
        <f t="shared" ref="K628:K635" ca="1" si="129">IF(I628&gt;0,J628*100/I628,0)</f>
        <v>62.160167248628426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IFERROR(__xludf.DUMMYFUNCTION("IMPORTRANGE(""https://docs.google.com/spreadsheets/d/11923uPwbBZFjjGgGUA6NLw09EwE0CqkOc4q9oUmW1yo/edit?usp=sharing"",""น่าน!I524"")"),327)</f>
        <v>327</v>
      </c>
      <c r="J629" s="341">
        <f ca="1">IFERROR(__xludf.DUMMYFUNCTION("IMPORTRANGE(""https://docs.google.com/spreadsheets/d/11923uPwbBZFjjGgGUA6NLw09EwE0CqkOc4q9oUmW1yo/edit?usp=sharing"",""น่าน!J524"")"),209)</f>
        <v>209</v>
      </c>
      <c r="K629" s="342">
        <f t="shared" ca="1" si="129"/>
        <v>63.914373088685018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IFERROR(__xludf.DUMMYFUNCTION("IMPORTRANGE(""https://docs.google.com/spreadsheets/d/11923uPwbBZFjjGgGUA6NLw09EwE0CqkOc4q9oUmW1yo/edit?usp=sharing"",""น่าน!I525"")"),1068977.23)</f>
        <v>1068977.23</v>
      </c>
      <c r="J630" s="341">
        <f ca="1">IFERROR(__xludf.DUMMYFUNCTION("IMPORTRANGE(""https://docs.google.com/spreadsheets/d/11923uPwbBZFjjGgGUA6NLw09EwE0CqkOc4q9oUmW1yo/edit?usp=sharing"",""น่าน!J525"")"),441463.21)</f>
        <v>441463.21</v>
      </c>
      <c r="K630" s="342">
        <f t="shared" ca="1" si="129"/>
        <v>41.297718754963569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IFERROR(__xludf.DUMMYFUNCTION("IMPORTRANGE(""https://docs.google.com/spreadsheets/d/11923uPwbBZFjjGgGUA6NLw09EwE0CqkOc4q9oUmW1yo/edit?usp=sharing"",""น่าน!I526"")"),68)</f>
        <v>68</v>
      </c>
      <c r="J631" s="341">
        <f ca="1">IFERROR(__xludf.DUMMYFUNCTION("IMPORTRANGE(""https://docs.google.com/spreadsheets/d/11923uPwbBZFjjGgGUA6NLw09EwE0CqkOc4q9oUmW1yo/edit?usp=sharing"",""น่าน!J526"")"),63)</f>
        <v>63</v>
      </c>
      <c r="K631" s="342">
        <f t="shared" ca="1" si="129"/>
        <v>92.647058823529406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IFERROR(__xludf.DUMMYFUNCTION("IMPORTRANGE(""https://docs.google.com/spreadsheets/d/11923uPwbBZFjjGgGUA6NLw09EwE0CqkOc4q9oUmW1yo/edit?usp=sharing"",""น่าน!I527"")"),0)</f>
        <v>0</v>
      </c>
      <c r="J632" s="341">
        <f ca="1">IFERROR(__xludf.DUMMYFUNCTION("IMPORTRANGE(""https://docs.google.com/spreadsheets/d/11923uPwbBZFjjGgGUA6NLw09EwE0CqkOc4q9oUmW1yo/edit?usp=sharing"",""น่าน!J527"")"),0)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IFERROR(__xludf.DUMMYFUNCTION("IMPORTRANGE(""https://docs.google.com/spreadsheets/d/11923uPwbBZFjjGgGUA6NLw09EwE0CqkOc4q9oUmW1yo/edit?usp=sharing"",""น่าน!I528"")"),0)</f>
        <v>0</v>
      </c>
      <c r="J633" s="341">
        <f ca="1">IFERROR(__xludf.DUMMYFUNCTION("IMPORTRANGE(""https://docs.google.com/spreadsheets/d/11923uPwbBZFjjGgGUA6NLw09EwE0CqkOc4q9oUmW1yo/edit?usp=sharing"",""น่าน!J528"")"),0)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IFERROR(__xludf.DUMMYFUNCTION("IMPORTRANGE(""https://docs.google.com/spreadsheets/d/11923uPwbBZFjjGgGUA6NLw09EwE0CqkOc4q9oUmW1yo/edit?usp=sharing"",""น่าน!I529"")"),6000000)</f>
        <v>6000000</v>
      </c>
      <c r="J634" s="341">
        <f ca="1">IFERROR(__xludf.DUMMYFUNCTION("IMPORTRANGE(""https://docs.google.com/spreadsheets/d/11923uPwbBZFjjGgGUA6NLw09EwE0CqkOc4q9oUmW1yo/edit?usp=sharing"",""น่าน!J529"")"),2860000)</f>
        <v>2860000</v>
      </c>
      <c r="K634" s="342">
        <f t="shared" ca="1" si="129"/>
        <v>47.666666666666664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IFERROR(__xludf.DUMMYFUNCTION("IMPORTRANGE(""https://docs.google.com/spreadsheets/d/11923uPwbBZFjjGgGUA6NLw09EwE0CqkOc4q9oUmW1yo/edit?usp=sharing"",""น่าน!I530"")"),223)</f>
        <v>223</v>
      </c>
      <c r="J635" s="505">
        <f ca="1">IFERROR(__xludf.DUMMYFUNCTION("IMPORTRANGE(""https://docs.google.com/spreadsheets/d/11923uPwbBZFjjGgGUA6NLw09EwE0CqkOc4q9oUmW1yo/edit?usp=sharing"",""น่าน!J530"")"),66)</f>
        <v>66</v>
      </c>
      <c r="K635" s="487">
        <f t="shared" ca="1" si="129"/>
        <v>29.59641255605381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IFERROR(__xludf.DUMMYFUNCTION("IMPORTRANGE(""https://docs.google.com/spreadsheets/d/11923uPwbBZFjjGgGUA6NLw09EwE0CqkOc4q9oUmW1yo/edit?usp=sharing"",""น่าน!J541"")"),0)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IFERROR(__xludf.DUMMYFUNCTION("IMPORTRANGE(""https://docs.google.com/spreadsheets/d/11923uPwbBZFjjGgGUA6NLw09EwE0CqkOc4q9oUmW1yo/edit?usp=sharing"",""น่าน!J542"")"),0)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IFERROR(__xludf.DUMMYFUNCTION("IMPORTRANGE(""https://docs.google.com/spreadsheets/d/11923uPwbBZFjjGgGUA6NLw09EwE0CqkOc4q9oUmW1yo/edit?usp=sharing"",""น่าน!I543"")"),0)</f>
        <v>0</v>
      </c>
      <c r="J648" s="536">
        <f ca="1">IFERROR(__xludf.DUMMYFUNCTION("IMPORTRANGE(""https://docs.google.com/spreadsheets/d/11923uPwbBZFjjGgGUA6NLw09EwE0CqkOc4q9oUmW1yo/edit?usp=sharing"",""น่าน!J543"")"),0)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IFERROR(__xludf.DUMMYFUNCTION("IMPORTRANGE(""https://docs.google.com/spreadsheets/d/11923uPwbBZFjjGgGUA6NLw09EwE0CqkOc4q9oUmW1yo/edit?usp=sharing"",""น่าน!L543"")"),0)</f>
        <v>0</v>
      </c>
      <c r="M648" s="521"/>
      <c r="N648" s="538">
        <f ca="1">IFERROR(__xludf.DUMMYFUNCTION("IMPORTRANGE(""https://docs.google.com/spreadsheets/d/11923uPwbBZFjjGgGUA6NLw09EwE0CqkOc4q9oUmW1yo/edit?usp=sharing"",""น่าน!M543"")"),0)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IFERROR(__xludf.DUMMYFUNCTION("IMPORTRANGE(""https://docs.google.com/spreadsheets/d/11923uPwbBZFjjGgGUA6NLw09EwE0CqkOc4q9oUmW1yo/edit?usp=sharing"",""น่าน!I544"")"),0)</f>
        <v>0</v>
      </c>
      <c r="J649" s="536">
        <f ca="1">IFERROR(__xludf.DUMMYFUNCTION("IMPORTRANGE(""https://docs.google.com/spreadsheets/d/11923uPwbBZFjjGgGUA6NLw09EwE0CqkOc4q9oUmW1yo/edit?usp=sharing"",""น่าน!J544"")"),0)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IFERROR(__xludf.DUMMYFUNCTION("IMPORTRANGE(""https://docs.google.com/spreadsheets/d/11923uPwbBZFjjGgGUA6NLw09EwE0CqkOc4q9oUmW1yo/edit?usp=sharing"",""น่าน!L544"")"),0)</f>
        <v>0</v>
      </c>
      <c r="M649" s="521"/>
      <c r="N649" s="538">
        <f ca="1">IFERROR(__xludf.DUMMYFUNCTION("IMPORTRANGE(""https://docs.google.com/spreadsheets/d/11923uPwbBZFjjGgGUA6NLw09EwE0CqkOc4q9oUmW1yo/edit?usp=sharing"",""น่าน!M544"")"),0)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IFERROR(__xludf.DUMMYFUNCTION("IMPORTRANGE(""https://docs.google.com/spreadsheets/d/11923uPwbBZFjjGgGUA6NLw09EwE0CqkOc4q9oUmW1yo/edit?usp=sharing"",""น่าน!I545"")"),0)</f>
        <v>0</v>
      </c>
      <c r="J650" s="536">
        <f ca="1">IFERROR(__xludf.DUMMYFUNCTION("IMPORTRANGE(""https://docs.google.com/spreadsheets/d/11923uPwbBZFjjGgGUA6NLw09EwE0CqkOc4q9oUmW1yo/edit?usp=sharing"",""น่าน!J545"")"),0)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IFERROR(__xludf.DUMMYFUNCTION("IMPORTRANGE(""https://docs.google.com/spreadsheets/d/11923uPwbBZFjjGgGUA6NLw09EwE0CqkOc4q9oUmW1yo/edit?usp=sharing"",""น่าน!L545"")"),0)</f>
        <v>0</v>
      </c>
      <c r="M650" s="521"/>
      <c r="N650" s="538">
        <f ca="1">IFERROR(__xludf.DUMMYFUNCTION("IMPORTRANGE(""https://docs.google.com/spreadsheets/d/11923uPwbBZFjjGgGUA6NLw09EwE0CqkOc4q9oUmW1yo/edit?usp=sharing"",""น่าน!M545"")"),0)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IFERROR(__xludf.DUMMYFUNCTION("IMPORTRANGE(""https://docs.google.com/spreadsheets/d/11923uPwbBZFjjGgGUA6NLw09EwE0CqkOc4q9oUmW1yo/edit?usp=sharing"",""น่าน!I546"")"),0)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IFERROR(__xludf.DUMMYFUNCTION("IMPORTRANGE(""https://docs.google.com/spreadsheets/d/11923uPwbBZFjjGgGUA6NLw09EwE0CqkOc4q9oUmW1yo/edit?usp=sharing"",""น่าน!L546"")"),0)</f>
        <v>0</v>
      </c>
      <c r="M651" s="521"/>
      <c r="N651" s="538">
        <f ca="1">IFERROR(__xludf.DUMMYFUNCTION("IMPORTRANGE(""https://docs.google.com/spreadsheets/d/11923uPwbBZFjjGgGUA6NLw09EwE0CqkOc4q9oUmW1yo/edit?usp=sharing"",""น่าน!M546"")"),0)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IFERROR(__xludf.DUMMYFUNCTION("IMPORTRANGE(""https://docs.google.com/spreadsheets/d/11923uPwbBZFjjGgGUA6NLw09EwE0CqkOc4q9oUmW1yo/edit?usp=sharing"",""น่าน!J547"")"),0)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IFERROR(__xludf.DUMMYFUNCTION("IMPORTRANGE(""https://docs.google.com/spreadsheets/d/11923uPwbBZFjjGgGUA6NLw09EwE0CqkOc4q9oUmW1yo/edit?usp=sharing"",""น่าน!J548"")"),0)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IFERROR(__xludf.DUMMYFUNCTION("IMPORTRANGE(""https://docs.google.com/spreadsheets/d/11923uPwbBZFjjGgGUA6NLw09EwE0CqkOc4q9oUmW1yo/edit?usp=sharing"",""น่าน!J550"")"),0)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IFERROR(__xludf.DUMMYFUNCTION("IMPORTRANGE(""https://docs.google.com/spreadsheets/d/11923uPwbBZFjjGgGUA6NLw09EwE0CqkOc4q9oUmW1yo/edit?usp=sharing"",""น่าน!J551"")"),0)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IFERROR(__xludf.DUMMYFUNCTION("IMPORTRANGE(""https://docs.google.com/spreadsheets/d/11923uPwbBZFjjGgGUA6NLw09EwE0CqkOc4q9oUmW1yo/edit?usp=sharing"",""น่าน!J552"")"),0)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IFERROR(__xludf.DUMMYFUNCTION("IMPORTRANGE(""https://docs.google.com/spreadsheets/d/11923uPwbBZFjjGgGUA6NLw09EwE0CqkOc4q9oUmW1yo/edit?usp=sharing"",""น่าน!J553"")"),0)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IFERROR(__xludf.DUMMYFUNCTION("IMPORTRANGE(""https://docs.google.com/spreadsheets/d/11923uPwbBZFjjGgGUA6NLw09EwE0CqkOc4q9oUmW1yo/edit?usp=sharing"",""น่าน!J554"")"),0)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IFERROR(__xludf.DUMMYFUNCTION("IMPORTRANGE(""https://docs.google.com/spreadsheets/d/11923uPwbBZFjjGgGUA6NLw09EwE0CqkOc4q9oUmW1yo/edit?usp=sharing"",""น่าน!J555"")"),0)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IFERROR(__xludf.DUMMYFUNCTION("IMPORTRANGE(""https://docs.google.com/spreadsheets/d/11923uPwbBZFjjGgGUA6NLw09EwE0CqkOc4q9oUmW1yo/edit?usp=sharing"",""น่าน!J556"")"),0)</f>
        <v>0</v>
      </c>
      <c r="K661" s="537"/>
      <c r="L661" s="522">
        <f ca="1">IFERROR(__xludf.DUMMYFUNCTION("IMPORTRANGE(""https://docs.google.com/spreadsheets/d/11923uPwbBZFjjGgGUA6NLw09EwE0CqkOc4q9oUmW1yo/edit?usp=sharing"",""น่าน!L556"")"),0)</f>
        <v>0</v>
      </c>
      <c r="M661" s="521"/>
      <c r="N661" s="538">
        <f ca="1">IFERROR(__xludf.DUMMYFUNCTION("IMPORTRANGE(""https://docs.google.com/spreadsheets/d/11923uPwbBZFjjGgGUA6NLw09EwE0CqkOc4q9oUmW1yo/edit?usp=sharing"",""น่าน!M556"")"),0)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IFERROR(__xludf.DUMMYFUNCTION("IMPORTRANGE(""https://docs.google.com/spreadsheets/d/11923uPwbBZFjjGgGUA6NLw09EwE0CqkOc4q9oUmW1yo/edit?usp=sharing"",""น่าน!J557"")"),0)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IFERROR(__xludf.DUMMYFUNCTION("IMPORTRANGE(""https://docs.google.com/spreadsheets/d/11923uPwbBZFjjGgGUA6NLw09EwE0CqkOc4q9oUmW1yo/edit?usp=sharing"",""น่าน!I558"")"),0)</f>
        <v>0</v>
      </c>
      <c r="J663" s="536">
        <f ca="1">IFERROR(__xludf.DUMMYFUNCTION("IMPORTRANGE(""https://docs.google.com/spreadsheets/d/11923uPwbBZFjjGgGUA6NLw09EwE0CqkOc4q9oUmW1yo/edit?usp=sharing"",""น่าน!J558"")"),0)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IFERROR(__xludf.DUMMYFUNCTION("IMPORTRANGE(""https://docs.google.com/spreadsheets/d/11923uPwbBZFjjGgGUA6NLw09EwE0CqkOc4q9oUmW1yo/edit?usp=sharing"",""น่าน!I560"")"),0)</f>
        <v>0</v>
      </c>
      <c r="J665" s="536">
        <f ca="1">IFERROR(__xludf.DUMMYFUNCTION("IMPORTRANGE(""https://docs.google.com/spreadsheets/d/11923uPwbBZFjjGgGUA6NLw09EwE0CqkOc4q9oUmW1yo/edit?usp=sharing"",""น่าน!J560"")"),0)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IFERROR(__xludf.DUMMYFUNCTION("IMPORTRANGE(""https://docs.google.com/spreadsheets/d/11923uPwbBZFjjGgGUA6NLw09EwE0CqkOc4q9oUmW1yo/edit?usp=sharing"",""น่าน!L560"")"),0)</f>
        <v>0</v>
      </c>
      <c r="M665" s="521"/>
      <c r="N665" s="538">
        <f ca="1">IFERROR(__xludf.DUMMYFUNCTION("IMPORTRANGE(""https://docs.google.com/spreadsheets/d/11923uPwbBZFjjGgGUA6NLw09EwE0CqkOc4q9oUmW1yo/edit?usp=sharing"",""น่าน!M560"")"),0)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IFERROR(__xludf.DUMMYFUNCTION("IMPORTRANGE(""https://docs.google.com/spreadsheets/d/11923uPwbBZFjjGgGUA6NLw09EwE0CqkOc4q9oUmW1yo/edit?usp=sharing"",""น่าน!J561"")"),0)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IFERROR(__xludf.DUMMYFUNCTION("IMPORTRANGE(""https://docs.google.com/spreadsheets/d/11923uPwbBZFjjGgGUA6NLw09EwE0CqkOc4q9oUmW1yo/edit?usp=sharing"",""น่าน!J562"")"),0)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IFERROR(__xludf.DUMMYFUNCTION("IMPORTRANGE(""https://docs.google.com/spreadsheets/d/11923uPwbBZFjjGgGUA6NLw09EwE0CqkOc4q9oUmW1yo/edit?usp=sharing"",""น่าน!I563"")"),0)</f>
        <v>0</v>
      </c>
      <c r="J668" s="536">
        <f ca="1">IFERROR(__xludf.DUMMYFUNCTION("IMPORTRANGE(""https://docs.google.com/spreadsheets/d/11923uPwbBZFjjGgGUA6NLw09EwE0CqkOc4q9oUmW1yo/edit?usp=sharing"",""น่าน!J563"")"),0)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IFERROR(__xludf.DUMMYFUNCTION("IMPORTRANGE(""https://docs.google.com/spreadsheets/d/11923uPwbBZFjjGgGUA6NLw09EwE0CqkOc4q9oUmW1yo/edit?usp=sharing"",""น่าน!L563"")"),0)</f>
        <v>0</v>
      </c>
      <c r="M668" s="521"/>
      <c r="N668" s="538">
        <f ca="1">IFERROR(__xludf.DUMMYFUNCTION("IMPORTRANGE(""https://docs.google.com/spreadsheets/d/11923uPwbBZFjjGgGUA6NLw09EwE0CqkOc4q9oUmW1yo/edit?usp=sharing"",""น่าน!M563"")"),0)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IFERROR(__xludf.DUMMYFUNCTION("IMPORTRANGE(""https://docs.google.com/spreadsheets/d/11923uPwbBZFjjGgGUA6NLw09EwE0CqkOc4q9oUmW1yo/edit?usp=sharing"",""น่าน!J564"")"),0)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IFERROR(__xludf.DUMMYFUNCTION("IMPORTRANGE(""https://docs.google.com/spreadsheets/d/11923uPwbBZFjjGgGUA6NLw09EwE0CqkOc4q9oUmW1yo/edit?usp=sharing"",""น่าน!J565"")"),0)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IFERROR(__xludf.DUMMYFUNCTION("IMPORTRANGE(""https://docs.google.com/spreadsheets/d/11923uPwbBZFjjGgGUA6NLw09EwE0CqkOc4q9oUmW1yo/edit?usp=sharing"",""น่าน!I566"")"),0)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IFERROR(__xludf.DUMMYFUNCTION("IMPORTRANGE(""https://docs.google.com/spreadsheets/d/11923uPwbBZFjjGgGUA6NLw09EwE0CqkOc4q9oUmW1yo/edit?usp=sharing"",""น่าน!L566"")"),0)</f>
        <v>0</v>
      </c>
      <c r="M671" s="521"/>
      <c r="N671" s="538">
        <f ca="1">IFERROR(__xludf.DUMMYFUNCTION("IMPORTRANGE(""https://docs.google.com/spreadsheets/d/11923uPwbBZFjjGgGUA6NLw09EwE0CqkOc4q9oUmW1yo/edit?usp=sharing"",""น่าน!M566"")"),0)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IFERROR(__xludf.DUMMYFUNCTION("IMPORTRANGE(""https://docs.google.com/spreadsheets/d/11923uPwbBZFjjGgGUA6NLw09EwE0CqkOc4q9oUmW1yo/edit?usp=sharing"",""น่าน!J567"")"),0)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IFERROR(__xludf.DUMMYFUNCTION("IMPORTRANGE(""https://docs.google.com/spreadsheets/d/11923uPwbBZFjjGgGUA6NLw09EwE0CqkOc4q9oUmW1yo/edit?usp=sharing"",""น่าน!J568"")"),0)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IFERROR(__xludf.DUMMYFUNCTION("IMPORTRANGE(""https://docs.google.com/spreadsheets/d/11923uPwbBZFjjGgGUA6NLw09EwE0CqkOc4q9oUmW1yo/edit?usp=sharing"",""น่าน!J569"")"),0)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IFERROR(__xludf.DUMMYFUNCTION("IMPORTRANGE(""https://docs.google.com/spreadsheets/d/11923uPwbBZFjjGgGUA6NLw09EwE0CqkOc4q9oUmW1yo/edit?usp=sharing"",""น่าน!J570"")"),0)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IFERROR(__xludf.DUMMYFUNCTION("IMPORTRANGE(""https://docs.google.com/spreadsheets/d/11923uPwbBZFjjGgGUA6NLw09EwE0CqkOc4q9oUmW1yo/edit?usp=sharing"",""น่าน!J571"")"),0)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IFERROR(__xludf.DUMMYFUNCTION("IMPORTRANGE(""https://docs.google.com/spreadsheets/d/11923uPwbBZFjjGgGUA6NLw09EwE0CqkOc4q9oUmW1yo/edit?usp=sharing"",""น่าน!J572"")"),0)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3:P3"/>
    <mergeCell ref="A2:P2"/>
    <mergeCell ref="A1:P1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6316311</v>
      </c>
      <c r="M8" s="23">
        <f t="shared" ca="1" si="0"/>
        <v>3935330</v>
      </c>
      <c r="N8" s="23">
        <f t="shared" ca="1" si="0"/>
        <v>3953941.6</v>
      </c>
      <c r="O8" s="22">
        <f t="shared" ref="O8:O16" ca="1" si="1">IF(L8&gt;0,N8*100/L8,0)</f>
        <v>62.598906228651501</v>
      </c>
      <c r="P8" s="22">
        <f t="shared" ref="P8:P16" ca="1" si="2">IF(M8&gt;0,N8*100/M8,0)</f>
        <v>100.47293619594799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6316311</v>
      </c>
      <c r="M10" s="30">
        <f t="shared" ca="1" si="4"/>
        <v>3935330</v>
      </c>
      <c r="N10" s="30">
        <f t="shared" ca="1" si="4"/>
        <v>3953941.6</v>
      </c>
      <c r="O10" s="29">
        <f t="shared" ca="1" si="1"/>
        <v>62.598906228651501</v>
      </c>
      <c r="P10" s="29">
        <f t="shared" ca="1" si="2"/>
        <v>100.47293619594799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5924511</v>
      </c>
      <c r="M12" s="39">
        <f t="shared" ca="1" si="6"/>
        <v>3543530</v>
      </c>
      <c r="N12" s="39">
        <f t="shared" ca="1" si="6"/>
        <v>3562141.6</v>
      </c>
      <c r="O12" s="39">
        <f t="shared" ca="1" si="1"/>
        <v>60.125495589425014</v>
      </c>
      <c r="P12" s="39">
        <f t="shared" ca="1" si="2"/>
        <v>100.5252276684549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1732200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4192311</v>
      </c>
      <c r="M14" s="39">
        <f t="shared" si="8"/>
        <v>0</v>
      </c>
      <c r="N14" s="39">
        <f t="shared" ca="1" si="8"/>
        <v>1036877.7899999999</v>
      </c>
      <c r="O14" s="39">
        <f t="shared" ca="1" si="1"/>
        <v>24.73284520160837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391800</v>
      </c>
      <c r="M16" s="39">
        <f t="shared" ca="1" si="10"/>
        <v>391800</v>
      </c>
      <c r="N16" s="39">
        <f t="shared" ca="1" si="10"/>
        <v>391800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3768875</v>
      </c>
      <c r="M18" s="23">
        <f t="shared" ca="1" si="11"/>
        <v>3935330</v>
      </c>
      <c r="N18" s="23">
        <f t="shared" ca="1" si="11"/>
        <v>2917063.81</v>
      </c>
      <c r="O18" s="22">
        <f t="shared" ref="O18:O20" ca="1" si="12">IF(L18&gt;0,N18*100/L18,0)</f>
        <v>77.398794335179602</v>
      </c>
      <c r="P18" s="22">
        <f t="shared" ref="P18:P26" ca="1" si="13">IF(M18&gt;0,N18*100/M18,0)</f>
        <v>74.125011371346247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3768875</v>
      </c>
      <c r="M20" s="30">
        <f t="shared" ca="1" si="15"/>
        <v>3935330</v>
      </c>
      <c r="N20" s="30">
        <f t="shared" ca="1" si="15"/>
        <v>2917063.81</v>
      </c>
      <c r="O20" s="29">
        <f t="shared" ca="1" si="12"/>
        <v>77.398794335179602</v>
      </c>
      <c r="P20" s="29">
        <f t="shared" ca="1" si="13"/>
        <v>74.125011371346247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3377075</v>
      </c>
      <c r="M22" s="42">
        <f t="shared" ca="1" si="18"/>
        <v>3543530</v>
      </c>
      <c r="N22" s="39">
        <f t="shared" ca="1" si="18"/>
        <v>2525263.81</v>
      </c>
      <c r="O22" s="39">
        <f t="shared" ca="1" si="17"/>
        <v>74.776657610506135</v>
      </c>
      <c r="P22" s="39">
        <f t="shared" ca="1" si="13"/>
        <v>71.264073113533684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1732200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1644875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391800</v>
      </c>
      <c r="M26" s="50">
        <f t="shared" ca="1" si="22"/>
        <v>391800</v>
      </c>
      <c r="N26" s="50">
        <f t="shared" ca="1" si="22"/>
        <v>391800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2547436</v>
      </c>
      <c r="M28" s="23">
        <f t="shared" si="23"/>
        <v>0</v>
      </c>
      <c r="N28" s="23">
        <f t="shared" ca="1" si="23"/>
        <v>1036877.7899999999</v>
      </c>
      <c r="O28" s="22">
        <f t="shared" ref="O28:O30" ca="1" si="24">IF(L28&gt;0,N28*100/L28,0)</f>
        <v>40.702800384386492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2547436</v>
      </c>
      <c r="M30" s="30">
        <f t="shared" si="27"/>
        <v>0</v>
      </c>
      <c r="N30" s="30">
        <f t="shared" ca="1" si="27"/>
        <v>1036877.7899999999</v>
      </c>
      <c r="O30" s="29">
        <f t="shared" ca="1" si="24"/>
        <v>40.702800384386492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2547436</v>
      </c>
      <c r="M32" s="39">
        <f t="shared" si="30"/>
        <v>0</v>
      </c>
      <c r="N32" s="39">
        <f t="shared" ca="1" si="30"/>
        <v>1036877.7899999999</v>
      </c>
      <c r="O32" s="39">
        <f t="shared" ca="1" si="29"/>
        <v>40.702800384386492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2547436</v>
      </c>
      <c r="M34" s="39">
        <f t="shared" si="32"/>
        <v>0</v>
      </c>
      <c r="N34" s="39">
        <f t="shared" ca="1" si="32"/>
        <v>1036877.7899999999</v>
      </c>
      <c r="O34" s="39">
        <f t="shared" ca="1" si="29"/>
        <v>40.702800384386492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3768875</v>
      </c>
      <c r="M37" s="55">
        <f t="shared" ca="1" si="33"/>
        <v>3935330</v>
      </c>
      <c r="N37" s="55">
        <f t="shared" ca="1" si="33"/>
        <v>2917063.81</v>
      </c>
      <c r="O37" s="56">
        <f t="shared" ca="1" si="29"/>
        <v>77.398794335179602</v>
      </c>
      <c r="P37" s="56">
        <f t="shared" ca="1" si="25"/>
        <v>74.125011371346247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811700</v>
      </c>
      <c r="M41" s="79">
        <f t="shared" ca="1" si="34"/>
        <v>811700</v>
      </c>
      <c r="N41" s="79">
        <f t="shared" ca="1" si="34"/>
        <v>643145.37</v>
      </c>
      <c r="O41" s="78">
        <f t="shared" ref="O41:O43" ca="1" si="35">IF(L41&gt;0,N41*100/L41,0)</f>
        <v>79.23436860909203</v>
      </c>
      <c r="P41" s="78">
        <f t="shared" ref="P41:P43" ca="1" si="36">IF(M41&gt;0,N41*100/M41,0)</f>
        <v>79.23436860909203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811700</v>
      </c>
      <c r="M43" s="79">
        <f t="shared" ca="1" si="38"/>
        <v>811700</v>
      </c>
      <c r="N43" s="79">
        <f t="shared" ca="1" si="38"/>
        <v>643145.37</v>
      </c>
      <c r="O43" s="78">
        <f t="shared" ca="1" si="35"/>
        <v>79.23436860909203</v>
      </c>
      <c r="P43" s="78">
        <f t="shared" ca="1" si="36"/>
        <v>79.23436860909203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619700</v>
      </c>
      <c r="M45" s="50">
        <f ca="1">IFERROR(__xludf.DUMMYFUNCTION("IMPORTRANGE(""https://docs.google.com/spreadsheets/d/1Yj_ptqi66GCucihVvJfMjLAmec39IyEx_6qawtMGysU/edit?usp=sharing"",""สบก!Q26"")"),619700)</f>
        <v>619700</v>
      </c>
      <c r="N45" s="50">
        <f ca="1">IFERROR(__xludf.DUMMYFUNCTION("IMPORTRANGE(""https://docs.google.com/spreadsheets/d/1Yj_ptqi66GCucihVvJfMjLAmec39IyEx_6qawtMGysU/edit?usp=sharing"",""สบก!R26"")"),451145.37)</f>
        <v>451145.37</v>
      </c>
      <c r="O45" s="39">
        <f ca="1">IF(L45&gt;0,N45*100/L45,0)</f>
        <v>72.800608358883338</v>
      </c>
      <c r="P45" s="39">
        <f ca="1">IF(M45&gt;0,N45*100/M45,0)</f>
        <v>72.800608358883338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IFERROR(__xludf.DUMMYFUNCTION("IMPORTRANGE(""https://docs.google.com/spreadsheets/d/1Yj_ptqi66GCucihVvJfMjLAmec39IyEx_6qawtMGysU/edit?usp=sharing"",""สบก!M26"")"),619700)</f>
        <v>619700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IFERROR(__xludf.DUMMYFUNCTION("IMPORTRANGE(""https://docs.google.com/spreadsheets/d/1Yj_ptqi66GCucihVvJfMjLAmec39IyEx_6qawtMGysU/edit?usp=sharing"",""สบก!N26"")"),0)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IFERROR(__xludf.DUMMYFUNCTION("IMPORTRANGE(""https://docs.google.com/spreadsheets/d/1Yj_ptqi66GCucihVvJfMjLAmec39IyEx_6qawtMGysU/edit?usp=sharing"",""สบก!O26"")"),192000)</f>
        <v>192000</v>
      </c>
      <c r="M49" s="50">
        <f ca="1">L49</f>
        <v>192000</v>
      </c>
      <c r="N49" s="50">
        <f ca="1">IFERROR(__xludf.DUMMYFUNCTION("IMPORTRANGE(""https://docs.google.com/spreadsheets/d/1Yj_ptqi66GCucihVvJfMjLAmec39IyEx_6qawtMGysU/edit?usp=sharing"",""สบก!S26"")"),192000)</f>
        <v>192000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456000</v>
      </c>
      <c r="M53" s="121">
        <f t="shared" ca="1" si="39"/>
        <v>446080</v>
      </c>
      <c r="N53" s="121">
        <f t="shared" ca="1" si="39"/>
        <v>364580</v>
      </c>
      <c r="O53" s="120">
        <f t="shared" ref="O53:O55" ca="1" si="40">IF(L53&gt;0,N53*100/L53,0)</f>
        <v>79.951754385964918</v>
      </c>
      <c r="P53" s="120">
        <f t="shared" ref="P53:P55" ca="1" si="41">IF(M53&gt;0,N53*100/M53,0)</f>
        <v>81.729734576757537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456000</v>
      </c>
      <c r="M55" s="121">
        <f t="shared" ca="1" si="43"/>
        <v>446080</v>
      </c>
      <c r="N55" s="121">
        <f t="shared" ca="1" si="43"/>
        <v>364580</v>
      </c>
      <c r="O55" s="120">
        <f t="shared" ca="1" si="40"/>
        <v>79.951754385964918</v>
      </c>
      <c r="P55" s="120">
        <f t="shared" ca="1" si="41"/>
        <v>81.729734576757537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456000</v>
      </c>
      <c r="M57" s="50">
        <f ca="1">IFERROR(__xludf.DUMMYFUNCTION("IMPORTRANGE(""https://docs.google.com/spreadsheets/d/1Yj_ptqi66GCucihVvJfMjLAmec39IyEx_6qawtMGysU/edit?usp=sharing"",""สบก!Z26"")"),446080)</f>
        <v>446080</v>
      </c>
      <c r="N57" s="50">
        <f ca="1">IFERROR(__xludf.DUMMYFUNCTION("IMPORTRANGE(""https://docs.google.com/spreadsheets/d/1Yj_ptqi66GCucihVvJfMjLAmec39IyEx_6qawtMGysU/edit?usp=sharing"",""สบก!AA26"")"),364580)</f>
        <v>364580</v>
      </c>
      <c r="O57" s="39">
        <f ca="1">IF(L57&gt;0,N57*100/L57,0)</f>
        <v>79.951754385964918</v>
      </c>
      <c r="P57" s="39">
        <f ca="1">IF(M57&gt;0,N57*100/M57,0)</f>
        <v>81.729734576757537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IFERROR(__xludf.DUMMYFUNCTION("IMPORTRANGE(""https://docs.google.com/spreadsheets/d/1Yj_ptqi66GCucihVvJfMjLAmec39IyEx_6qawtMGysU/edit?usp=sharing"",""สบก!V26"")"),456000)</f>
        <v>456000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IFERROR(__xludf.DUMMYFUNCTION("IMPORTRANGE(""https://docs.google.com/spreadsheets/d/1Yj_ptqi66GCucihVvJfMjLAmec39IyEx_6qawtMGysU/edit?usp=sharing"",""สบก!W26"")"),0)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IFERROR(__xludf.DUMMYFUNCTION("IMPORTRANGE(""https://docs.google.com/spreadsheets/d/1Yj_ptqi66GCucihVvJfMjLAmec39IyEx_6qawtMGysU/edit?usp=sharing"",""สบก!X26"")"),0)</f>
        <v>0</v>
      </c>
      <c r="M61" s="50"/>
      <c r="N61" s="50">
        <f ca="1">IFERROR(__xludf.DUMMYFUNCTION("IMPORTRANGE(""https://docs.google.com/spreadsheets/d/1Yj_ptqi66GCucihVvJfMjLAmec39IyEx_6qawtMGysU/edit?usp=sharing"",""สบก!AB26"")"),0)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IFERROR(__xludf.DUMMYFUNCTION("IMPORTRANGE(""https://docs.google.com/spreadsheets/d/11923uPwbBZFjjGgGUA6NLw09EwE0CqkOc4q9oUmW1yo/edit?usp=sharing"",""พะเยา!I9"")"),1)</f>
        <v>1</v>
      </c>
      <c r="J64" s="142">
        <f ca="1">IFERROR(__xludf.DUMMYFUNCTION("IMPORTRANGE(""https://docs.google.com/spreadsheets/d/11923uPwbBZFjjGgGUA6NLw09EwE0CqkOc4q9oUmW1yo/edit?usp=sharing"",""พะเยา!J9"")"),1)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IFERROR(__xludf.DUMMYFUNCTION("IMPORTRANGE(""https://docs.google.com/spreadsheets/d/11923uPwbBZFjjGgGUA6NLw09EwE0CqkOc4q9oUmW1yo/edit?usp=sharing"",""พะเยา!I10"")"),30)</f>
        <v>30</v>
      </c>
      <c r="J65" s="142">
        <f ca="1">IFERROR(__xludf.DUMMYFUNCTION("IMPORTRANGE(""https://docs.google.com/spreadsheets/d/11923uPwbBZFjjGgGUA6NLw09EwE0CqkOc4q9oUmW1yo/edit?usp=sharing"",""พะเยา!J10"")"),30)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382000</v>
      </c>
      <c r="M66" s="152">
        <f t="shared" ca="1" si="45"/>
        <v>418720</v>
      </c>
      <c r="N66" s="152">
        <f t="shared" ca="1" si="45"/>
        <v>228534.74</v>
      </c>
      <c r="O66" s="151">
        <f t="shared" ref="O66:O68" ca="1" si="46">IF(L66&gt;0,N66*100/L66,0)</f>
        <v>59.82584816753927</v>
      </c>
      <c r="P66" s="151">
        <f t="shared" ref="P66:P68" ca="1" si="47">IF(M66&gt;0,N66*100/M66,0)</f>
        <v>54.579370462361481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382000</v>
      </c>
      <c r="M68" s="88">
        <f t="shared" ca="1" si="49"/>
        <v>418720</v>
      </c>
      <c r="N68" s="88">
        <f t="shared" ca="1" si="49"/>
        <v>228534.74</v>
      </c>
      <c r="O68" s="156">
        <f t="shared" ca="1" si="46"/>
        <v>59.82584816753927</v>
      </c>
      <c r="P68" s="156">
        <f t="shared" ca="1" si="47"/>
        <v>54.579370462361481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382000</v>
      </c>
      <c r="M70" s="167">
        <f ca="1">IFERROR(__xludf.DUMMYFUNCTION("IMPORTRANGE(""https://docs.google.com/spreadsheets/d/1Yj_ptqi66GCucihVvJfMjLAmec39IyEx_6qawtMGysU/edit?usp=sharing"",""สบก!AI26"")"),418720)</f>
        <v>418720</v>
      </c>
      <c r="N70" s="168">
        <f ca="1">IFERROR(__xludf.DUMMYFUNCTION("IMPORTRANGE(""https://docs.google.com/spreadsheets/d/1Yj_ptqi66GCucihVvJfMjLAmec39IyEx_6qawtMGysU/edit?usp=sharing"",""สบก!AJ26"")"),228534.74)</f>
        <v>228534.74</v>
      </c>
      <c r="O70" s="168">
        <f ca="1">IF(L70&gt;0,N70*100/L70,0)</f>
        <v>59.82584816753927</v>
      </c>
      <c r="P70" s="168">
        <f ca="1">IF(M70&gt;0,N70*100/M70,0)</f>
        <v>54.579370462361481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IFERROR(__xludf.DUMMYFUNCTION("IMPORTRANGE(""https://docs.google.com/spreadsheets/d/1Yj_ptqi66GCucihVvJfMjLAmec39IyEx_6qawtMGysU/edit?usp=sharing"",""สบก!AE26"")"),0)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IFERROR(__xludf.DUMMYFUNCTION("IMPORTRANGE(""https://docs.google.com/spreadsheets/d/1Yj_ptqi66GCucihVvJfMjLAmec39IyEx_6qawtMGysU/edit?usp=sharing"",""สบก!AF26"")"),382000)</f>
        <v>382000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IFERROR(__xludf.DUMMYFUNCTION("IMPORTRANGE(""https://docs.google.com/spreadsheets/d/1Yj_ptqi66GCucihVvJfMjLAmec39IyEx_6qawtMGysU/edit?usp=sharing"",""สบก!AG26"")"),0)</f>
        <v>0</v>
      </c>
      <c r="M74" s="50"/>
      <c r="N74" s="50">
        <f ca="1">IFERROR(__xludf.DUMMYFUNCTION("IMPORTRANGE(""https://docs.google.com/spreadsheets/d/1Yj_ptqi66GCucihVvJfMjLAmec39IyEx_6qawtMGysU/edit?usp=sharing"",""สบก!AK26"")"),0)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IFERROR(__xludf.DUMMYFUNCTION("IMPORTRANGE(""https://docs.google.com/spreadsheets/d/11923uPwbBZFjjGgGUA6NLw09EwE0CqkOc4q9oUmW1yo/edit?usp=sharing"",""พะเยา!J16"")"),0)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IFERROR(__xludf.DUMMYFUNCTION("IMPORTRANGE(""https://docs.google.com/spreadsheets/d/11923uPwbBZFjjGgGUA6NLw09EwE0CqkOc4q9oUmW1yo/edit?usp=sharing"",""พะเยา!J17"")"),1)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IFERROR(__xludf.DUMMYFUNCTION("IMPORTRANGE(""https://docs.google.com/spreadsheets/d/11923uPwbBZFjjGgGUA6NLw09EwE0CqkOc4q9oUmW1yo/edit?usp=sharing"",""พะเยา!J18"")"),1)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IFERROR(__xludf.DUMMYFUNCTION("IMPORTRANGE(""https://docs.google.com/spreadsheets/d/11923uPwbBZFjjGgGUA6NLw09EwE0CqkOc4q9oUmW1yo/edit?usp=sharing"",""พะเยา!J19"")"),1)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IFERROR(__xludf.DUMMYFUNCTION("IMPORTRANGE(""https://docs.google.com/spreadsheets/d/11923uPwbBZFjjGgGUA6NLw09EwE0CqkOc4q9oUmW1yo/edit?usp=sharing"",""พะเยา!I20"")"),1)</f>
        <v>1</v>
      </c>
      <c r="J80" s="200">
        <f ca="1">IFERROR(__xludf.DUMMYFUNCTION("IMPORTRANGE(""https://docs.google.com/spreadsheets/d/11923uPwbBZFjjGgGUA6NLw09EwE0CqkOc4q9oUmW1yo/edit?usp=sharing"",""พะเยา!J20"")"),1)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IFERROR(__xludf.DUMMYFUNCTION("IMPORTRANGE(""https://docs.google.com/spreadsheets/d/11923uPwbBZFjjGgGUA6NLw09EwE0CqkOc4q9oUmW1yo/edit?usp=sharing"",""พะเยา!I21"")"),30)</f>
        <v>30</v>
      </c>
      <c r="J81" s="200">
        <f ca="1">IFERROR(__xludf.DUMMYFUNCTION("IMPORTRANGE(""https://docs.google.com/spreadsheets/d/11923uPwbBZFjjGgGUA6NLw09EwE0CqkOc4q9oUmW1yo/edit?usp=sharing"",""พะเยา!J21"")"),30)</f>
        <v>30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IFERROR(__xludf.DUMMYFUNCTION("IMPORTRANGE(""https://docs.google.com/spreadsheets/d/11923uPwbBZFjjGgGUA6NLw09EwE0CqkOc4q9oUmW1yo/edit?usp=sharing"",""พะเยา!I22"")"),1)</f>
        <v>1</v>
      </c>
      <c r="J82" s="203">
        <f ca="1">IFERROR(__xludf.DUMMYFUNCTION("IMPORTRANGE(""https://docs.google.com/spreadsheets/d/11923uPwbBZFjjGgGUA6NLw09EwE0CqkOc4q9oUmW1yo/edit?usp=sharing"",""พะเยา!J22"")"),1)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IFERROR(__xludf.DUMMYFUNCTION("IMPORTRANGE(""https://docs.google.com/spreadsheets/d/11923uPwbBZFjjGgGUA6NLw09EwE0CqkOc4q9oUmW1yo/edit?usp=sharing"",""พะเยา!I23"")"),30)</f>
        <v>30</v>
      </c>
      <c r="J83" s="203">
        <f ca="1">IFERROR(__xludf.DUMMYFUNCTION("IMPORTRANGE(""https://docs.google.com/spreadsheets/d/11923uPwbBZFjjGgGUA6NLw09EwE0CqkOc4q9oUmW1yo/edit?usp=sharing"",""พะเยา!J23"")"),30)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IFERROR(__xludf.DUMMYFUNCTION("IMPORTRANGE(""https://docs.google.com/spreadsheets/d/11923uPwbBZFjjGgGUA6NLw09EwE0CqkOc4q9oUmW1yo/edit?usp=sharing"",""พะเยา!I24"")"),0)</f>
        <v>0</v>
      </c>
      <c r="J84" s="188">
        <f ca="1">IFERROR(__xludf.DUMMYFUNCTION("IMPORTRANGE(""https://docs.google.com/spreadsheets/d/11923uPwbBZFjjGgGUA6NLw09EwE0CqkOc4q9oUmW1yo/edit?usp=sharing"",""พะเยา!J24"")"),0)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IFERROR(__xludf.DUMMYFUNCTION("IMPORTRANGE(""https://docs.google.com/spreadsheets/d/11923uPwbBZFjjGgGUA6NLw09EwE0CqkOc4q9oUmW1yo/edit?usp=sharing"",""พะเยา!I25"")"),0)</f>
        <v>0</v>
      </c>
      <c r="J85" s="188">
        <f ca="1">IFERROR(__xludf.DUMMYFUNCTION("IMPORTRANGE(""https://docs.google.com/spreadsheets/d/11923uPwbBZFjjGgGUA6NLw09EwE0CqkOc4q9oUmW1yo/edit?usp=sharing"",""พะเยา!J25"")"),0)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IFERROR(__xludf.DUMMYFUNCTION("IMPORTRANGE(""https://docs.google.com/spreadsheets/d/11923uPwbBZFjjGgGUA6NLw09EwE0CqkOc4q9oUmW1yo/edit?usp=sharing"",""พะเยา!I26"")"),0)</f>
        <v>0</v>
      </c>
      <c r="J86" s="203">
        <f ca="1">IFERROR(__xludf.DUMMYFUNCTION("IMPORTRANGE(""https://docs.google.com/spreadsheets/d/11923uPwbBZFjjGgGUA6NLw09EwE0CqkOc4q9oUmW1yo/edit?usp=sharing"",""พะเยา!J26"")"),0)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IFERROR(__xludf.DUMMYFUNCTION("IMPORTRANGE(""https://docs.google.com/spreadsheets/d/11923uPwbBZFjjGgGUA6NLw09EwE0CqkOc4q9oUmW1yo/edit?usp=sharing"",""พะเยา!I27"")"),0)</f>
        <v>0</v>
      </c>
      <c r="J87" s="203">
        <f ca="1">IFERROR(__xludf.DUMMYFUNCTION("IMPORTRANGE(""https://docs.google.com/spreadsheets/d/11923uPwbBZFjjGgGUA6NLw09EwE0CqkOc4q9oUmW1yo/edit?usp=sharing"",""พะเยา!J27"")"),0)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IFERROR(__xludf.DUMMYFUNCTION("IMPORTRANGE(""https://docs.google.com/spreadsheets/d/11923uPwbBZFjjGgGUA6NLw09EwE0CqkOc4q9oUmW1yo/edit?usp=sharing"",""พะเยา!I28"")"),1)</f>
        <v>1</v>
      </c>
      <c r="J88" s="203">
        <f ca="1">IFERROR(__xludf.DUMMYFUNCTION("IMPORTRANGE(""https://docs.google.com/spreadsheets/d/11923uPwbBZFjjGgGUA6NLw09EwE0CqkOc4q9oUmW1yo/edit?usp=sharing"",""พะเยา!J28"")"),0)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IFERROR(__xludf.DUMMYFUNCTION("IMPORTRANGE(""https://docs.google.com/spreadsheets/d/11923uPwbBZFjjGgGUA6NLw09EwE0CqkOc4q9oUmW1yo/edit?usp=sharing"",""พะเยา!J29"")"),0)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IFERROR(__xludf.DUMMYFUNCTION("IMPORTRANGE(""https://docs.google.com/spreadsheets/d/11923uPwbBZFjjGgGUA6NLw09EwE0CqkOc4q9oUmW1yo/edit?usp=sharing"",""พะเยา!J30"")"),0)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IFERROR(__xludf.DUMMYFUNCTION("IMPORTRANGE(""https://docs.google.com/spreadsheets/d/11923uPwbBZFjjGgGUA6NLw09EwE0CqkOc4q9oUmW1yo/edit?usp=sharing"",""พะเยา!I32"")"),7)</f>
        <v>7</v>
      </c>
      <c r="J92" s="142">
        <f ca="1">IFERROR(__xludf.DUMMYFUNCTION("IMPORTRANGE(""https://docs.google.com/spreadsheets/d/11923uPwbBZFjjGgGUA6NLw09EwE0CqkOc4q9oUmW1yo/edit?usp=sharing"",""พะเยา!J32"")"),7)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IFERROR(__xludf.DUMMYFUNCTION("IMPORTRANGE(""https://docs.google.com/spreadsheets/d/11923uPwbBZFjjGgGUA6NLw09EwE0CqkOc4q9oUmW1yo/edit?usp=sharing"",""พะเยา!I33"")"),2)</f>
        <v>2</v>
      </c>
      <c r="J93" s="142">
        <f ca="1">IFERROR(__xludf.DUMMYFUNCTION("IMPORTRANGE(""https://docs.google.com/spreadsheets/d/11923uPwbBZFjjGgGUA6NLw09EwE0CqkOc4q9oUmW1yo/edit?usp=sharing"",""พะเยา!J33"")"),2)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260075</v>
      </c>
      <c r="O94" s="151">
        <f t="shared" ref="O94:O96" ca="1" si="53">IF(L94&gt;0,N94*100/L94,0)</f>
        <v>81.538437421620273</v>
      </c>
      <c r="P94" s="151">
        <f t="shared" ref="P94:P96" ca="1" si="54">IF(M94&gt;0,N94*100/M94,0)</f>
        <v>81.538437421620273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260075</v>
      </c>
      <c r="O96" s="156">
        <f t="shared" ca="1" si="53"/>
        <v>81.538437421620273</v>
      </c>
      <c r="P96" s="156">
        <f t="shared" ca="1" si="54"/>
        <v>81.538437421620273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IFERROR(__xludf.DUMMYFUNCTION("IMPORTRANGE(""https://docs.google.com/spreadsheets/d/1Yj_ptqi66GCucihVvJfMjLAmec39IyEx_6qawtMGysU/edit?usp=sharing"",""สบก!AR26"")"),134160)</f>
        <v>134160</v>
      </c>
      <c r="N98" s="168">
        <f ca="1">IFERROR(__xludf.DUMMYFUNCTION("IMPORTRANGE(""https://docs.google.com/spreadsheets/d/1Yj_ptqi66GCucihVvJfMjLAmec39IyEx_6qawtMGysU/edit?usp=sharing"",""สบก!AS26"")"),75275)</f>
        <v>75275</v>
      </c>
      <c r="O98" s="168">
        <f ca="1">IF(L98&gt;0,N98*100/L98,0)</f>
        <v>56.108378056052473</v>
      </c>
      <c r="P98" s="168">
        <f ca="1">IF(M98&gt;0,N98*100/M98,0)</f>
        <v>56.108378056052473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IFERROR(__xludf.DUMMYFUNCTION("IMPORTRANGE(""https://docs.google.com/spreadsheets/d/1Yj_ptqi66GCucihVvJfMjLAmec39IyEx_6qawtMGysU/edit?usp=sharing"",""สบก!AN26"")"),0)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IFERROR(__xludf.DUMMYFUNCTION("IMPORTRANGE(""https://docs.google.com/spreadsheets/d/1Yj_ptqi66GCucihVvJfMjLAmec39IyEx_6qawtMGysU/edit?usp=sharing"",""สบก!AO26"")"),134160)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IFERROR(__xludf.DUMMYFUNCTION("IMPORTRANGE(""https://docs.google.com/spreadsheets/d/1Yj_ptqi66GCucihVvJfMjLAmec39IyEx_6qawtMGysU/edit?usp=sharing"",""สบก!AP26"")"),184800)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IFERROR(__xludf.DUMMYFUNCTION("IMPORTRANGE(""https://docs.google.com/spreadsheets/d/1Yj_ptqi66GCucihVvJfMjLAmec39IyEx_6qawtMGysU/edit?usp=sharing"",""สบก!AT26"")"),184800)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IFERROR(__xludf.DUMMYFUNCTION("IMPORTRANGE(""https://docs.google.com/spreadsheets/d/11923uPwbBZFjjGgGUA6NLw09EwE0CqkOc4q9oUmW1yo/edit?usp=sharing"",""พะเยา!J39"")"),0)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IFERROR(__xludf.DUMMYFUNCTION("IMPORTRANGE(""https://docs.google.com/spreadsheets/d/11923uPwbBZFjjGgGUA6NLw09EwE0CqkOc4q9oUmW1yo/edit?usp=sharing"",""พะเยา!J40"")"),1)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IFERROR(__xludf.DUMMYFUNCTION("IMPORTRANGE(""https://docs.google.com/spreadsheets/d/11923uPwbBZFjjGgGUA6NLw09EwE0CqkOc4q9oUmW1yo/edit?usp=sharing"",""พะเยา!J41"")"),1)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IFERROR(__xludf.DUMMYFUNCTION("IMPORTRANGE(""https://docs.google.com/spreadsheets/d/11923uPwbBZFjjGgGUA6NLw09EwE0CqkOc4q9oUmW1yo/edit?usp=sharing"",""พะเยา!J42"")"),1)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IFERROR(__xludf.DUMMYFUNCTION("IMPORTRANGE(""https://docs.google.com/spreadsheets/d/11923uPwbBZFjjGgGUA6NLw09EwE0CqkOc4q9oUmW1yo/edit?usp=sharing"",""พะเยา!I43"")"),1)</f>
        <v>1</v>
      </c>
      <c r="J108" s="203">
        <f ca="1">IFERROR(__xludf.DUMMYFUNCTION("IMPORTRANGE(""https://docs.google.com/spreadsheets/d/11923uPwbBZFjjGgGUA6NLw09EwE0CqkOc4q9oUmW1yo/edit?usp=sharing"",""พะเยา!J43"")"),1)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IFERROR(__xludf.DUMMYFUNCTION("IMPORTRANGE(""https://docs.google.com/spreadsheets/d/11923uPwbBZFjjGgGUA6NLw09EwE0CqkOc4q9oUmW1yo/edit?usp=sharing"",""พะเยา!I44"")"),7)</f>
        <v>7</v>
      </c>
      <c r="J109" s="203">
        <f ca="1">IFERROR(__xludf.DUMMYFUNCTION("IMPORTRANGE(""https://docs.google.com/spreadsheets/d/11923uPwbBZFjjGgGUA6NLw09EwE0CqkOc4q9oUmW1yo/edit?usp=sharing"",""พะเยา!J44"")"),7)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IFERROR(__xludf.DUMMYFUNCTION("IMPORTRANGE(""https://docs.google.com/spreadsheets/d/11923uPwbBZFjjGgGUA6NLw09EwE0CqkOc4q9oUmW1yo/edit?usp=sharing"",""พะเยา!I45"")"),7)</f>
        <v>7</v>
      </c>
      <c r="J110" s="203">
        <f ca="1">IFERROR(__xludf.DUMMYFUNCTION("IMPORTRANGE(""https://docs.google.com/spreadsheets/d/11923uPwbBZFjjGgGUA6NLw09EwE0CqkOc4q9oUmW1yo/edit?usp=sharing"",""พะเยา!J45"")"),7)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IFERROR(__xludf.DUMMYFUNCTION("IMPORTRANGE(""https://docs.google.com/spreadsheets/d/11923uPwbBZFjjGgGUA6NLw09EwE0CqkOc4q9oUmW1yo/edit?usp=sharing"",""พะเยา!I46"")"),7)</f>
        <v>7</v>
      </c>
      <c r="J111" s="203">
        <f ca="1">IFERROR(__xludf.DUMMYFUNCTION("IMPORTRANGE(""https://docs.google.com/spreadsheets/d/11923uPwbBZFjjGgGUA6NLw09EwE0CqkOc4q9oUmW1yo/edit?usp=sharing"",""พะเยา!J46"")"),7)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IFERROR(__xludf.DUMMYFUNCTION("IMPORTRANGE(""https://docs.google.com/spreadsheets/d/11923uPwbBZFjjGgGUA6NLw09EwE0CqkOc4q9oUmW1yo/edit?usp=sharing"",""พะเยา!I47"")"),7)</f>
        <v>7</v>
      </c>
      <c r="J112" s="203">
        <f ca="1">IFERROR(__xludf.DUMMYFUNCTION("IMPORTRANGE(""https://docs.google.com/spreadsheets/d/11923uPwbBZFjjGgGUA6NLw09EwE0CqkOc4q9oUmW1yo/edit?usp=sharing"",""พะเยา!J47"")"),7)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IFERROR(__xludf.DUMMYFUNCTION("IMPORTRANGE(""https://docs.google.com/spreadsheets/d/11923uPwbBZFjjGgGUA6NLw09EwE0CqkOc4q9oUmW1yo/edit?usp=sharing"",""พะเยา!I48"")"),2)</f>
        <v>2</v>
      </c>
      <c r="J113" s="203">
        <f ca="1">IFERROR(__xludf.DUMMYFUNCTION("IMPORTRANGE(""https://docs.google.com/spreadsheets/d/11923uPwbBZFjjGgGUA6NLw09EwE0CqkOc4q9oUmW1yo/edit?usp=sharing"",""พะเยา!J48"")"),2)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IFERROR(__xludf.DUMMYFUNCTION("IMPORTRANGE(""https://docs.google.com/spreadsheets/d/11923uPwbBZFjjGgGUA6NLw09EwE0CqkOc4q9oUmW1yo/edit?usp=sharing"",""พะเยา!J49"")"),1)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IFERROR(__xludf.DUMMYFUNCTION("IMPORTRANGE(""https://docs.google.com/spreadsheets/d/11923uPwbBZFjjGgGUA6NLw09EwE0CqkOc4q9oUmW1yo/edit?usp=sharing"",""พะเยา!J50"")"),0)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IFERROR(__xludf.DUMMYFUNCTION("IMPORTRANGE(""https://docs.google.com/spreadsheets/d/11923uPwbBZFjjGgGUA6NLw09EwE0CqkOc4q9oUmW1yo/edit?usp=sharing"",""พะเยา!I52"")"),20)</f>
        <v>20</v>
      </c>
      <c r="J117" s="142">
        <f ca="1">IFERROR(__xludf.DUMMYFUNCTION("IMPORTRANGE(""https://docs.google.com/spreadsheets/d/11923uPwbBZFjjGgGUA6NLw09EwE0CqkOc4q9oUmW1yo/edit?usp=sharing"",""พะเยา!J52"")"),20)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93495</v>
      </c>
      <c r="N118" s="152">
        <f t="shared" ca="1" si="58"/>
        <v>69161</v>
      </c>
      <c r="O118" s="151">
        <f t="shared" ref="O118:O120" ca="1" si="59">IF(L118&gt;0,N118*100/L118,0)</f>
        <v>83.892527899078118</v>
      </c>
      <c r="P118" s="151">
        <f t="shared" ref="P118:P120" ca="1" si="60">IF(M118&gt;0,N118*100/M118,0)</f>
        <v>73.972939729397297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93495</v>
      </c>
      <c r="N120" s="88">
        <f t="shared" ca="1" si="62"/>
        <v>69161</v>
      </c>
      <c r="O120" s="156">
        <f t="shared" ca="1" si="59"/>
        <v>83.892527899078118</v>
      </c>
      <c r="P120" s="156">
        <f t="shared" ca="1" si="60"/>
        <v>73.972939729397297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IFERROR(__xludf.DUMMYFUNCTION("IMPORTRANGE(""https://docs.google.com/spreadsheets/d/1Yj_ptqi66GCucihVvJfMjLAmec39IyEx_6qawtMGysU/edit?usp=sharing"",""สบก!BA26"")"),93495)</f>
        <v>93495</v>
      </c>
      <c r="N122" s="168">
        <f ca="1">IFERROR(__xludf.DUMMYFUNCTION("IMPORTRANGE(""https://docs.google.com/spreadsheets/d/1Yj_ptqi66GCucihVvJfMjLAmec39IyEx_6qawtMGysU/edit?usp=sharing"",""สบก!BB26"")"),69161)</f>
        <v>69161</v>
      </c>
      <c r="O122" s="168">
        <f ca="1">IF(L122&gt;0,N122*100/L122,0)</f>
        <v>83.892527899078118</v>
      </c>
      <c r="P122" s="168">
        <f ca="1">IF(M122&gt;0,N122*100/M122,0)</f>
        <v>73.972939729397297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IFERROR(__xludf.DUMMYFUNCTION("IMPORTRANGE(""https://docs.google.com/spreadsheets/d/1Yj_ptqi66GCucihVvJfMjLAmec39IyEx_6qawtMGysU/edit?usp=sharing"",""สบก!AW26"")"),0)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IFERROR(__xludf.DUMMYFUNCTION("IMPORTRANGE(""https://docs.google.com/spreadsheets/d/1Yj_ptqi66GCucihVvJfMjLAmec39IyEx_6qawtMGysU/edit?usp=sharing"",""สบก!AX26"")"),82440)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IFERROR(__xludf.DUMMYFUNCTION("IMPORTRANGE(""https://docs.google.com/spreadsheets/d/1Yj_ptqi66GCucihVvJfMjLAmec39IyEx_6qawtMGysU/edit?usp=sharing"",""สบก!AY26"")"),0)</f>
        <v>0</v>
      </c>
      <c r="M126" s="50"/>
      <c r="N126" s="50">
        <f ca="1">IFERROR(__xludf.DUMMYFUNCTION("IMPORTRANGE(""https://docs.google.com/spreadsheets/d/1Yj_ptqi66GCucihVvJfMjLAmec39IyEx_6qawtMGysU/edit?usp=sharing"",""สบก!BC26"")"),0)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IFERROR(__xludf.DUMMYFUNCTION("IMPORTRANGE(""https://docs.google.com/spreadsheets/d/11923uPwbBZFjjGgGUA6NLw09EwE0CqkOc4q9oUmW1yo/edit?usp=sharing"",""พะเยา!J58"")"),0)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IFERROR(__xludf.DUMMYFUNCTION("IMPORTRANGE(""https://docs.google.com/spreadsheets/d/11923uPwbBZFjjGgGUA6NLw09EwE0CqkOc4q9oUmW1yo/edit?usp=sharing"",""พะเยา!J59"")"),1)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IFERROR(__xludf.DUMMYFUNCTION("IMPORTRANGE(""https://docs.google.com/spreadsheets/d/11923uPwbBZFjjGgGUA6NLw09EwE0CqkOc4q9oUmW1yo/edit?usp=sharing"",""พะเยา!J60"")"),1)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IFERROR(__xludf.DUMMYFUNCTION("IMPORTRANGE(""https://docs.google.com/spreadsheets/d/11923uPwbBZFjjGgGUA6NLw09EwE0CqkOc4q9oUmW1yo/edit?usp=sharing"",""พะเยา!J61"")"),1)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IFERROR(__xludf.DUMMYFUNCTION("IMPORTRANGE(""https://docs.google.com/spreadsheets/d/11923uPwbBZFjjGgGUA6NLw09EwE0CqkOc4q9oUmW1yo/edit?usp=sharing"",""พะเยา!I62"")"),20)</f>
        <v>20</v>
      </c>
      <c r="J132" s="203">
        <f ca="1">IFERROR(__xludf.DUMMYFUNCTION("IMPORTRANGE(""https://docs.google.com/spreadsheets/d/11923uPwbBZFjjGgGUA6NLw09EwE0CqkOc4q9oUmW1yo/edit?usp=sharing"",""พะเยา!J62"")"),20)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IFERROR(__xludf.DUMMYFUNCTION("IMPORTRANGE(""https://docs.google.com/spreadsheets/d/11923uPwbBZFjjGgGUA6NLw09EwE0CqkOc4q9oUmW1yo/edit?usp=sharing"",""พะเยา!I63"")"),20)</f>
        <v>20</v>
      </c>
      <c r="J133" s="203">
        <f ca="1">IFERROR(__xludf.DUMMYFUNCTION("IMPORTRANGE(""https://docs.google.com/spreadsheets/d/11923uPwbBZFjjGgGUA6NLw09EwE0CqkOc4q9oUmW1yo/edit?usp=sharing"",""พะเยา!J63"")"),20)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IFERROR(__xludf.DUMMYFUNCTION("IMPORTRANGE(""https://docs.google.com/spreadsheets/d/11923uPwbBZFjjGgGUA6NLw09EwE0CqkOc4q9oUmW1yo/edit?usp=sharing"",""พะเยา!J64"")"),0)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IFERROR(__xludf.DUMMYFUNCTION("IMPORTRANGE(""https://docs.google.com/spreadsheets/d/11923uPwbBZFjjGgGUA6NLw09EwE0CqkOc4q9oUmW1yo/edit?usp=sharing"",""พะเยา!J65"")"),0)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IFERROR(__xludf.DUMMYFUNCTION("IMPORTRANGE(""https://docs.google.com/spreadsheets/d/11923uPwbBZFjjGgGUA6NLw09EwE0CqkOc4q9oUmW1yo/edit?usp=sharing"",""พะเยา!I68"")"),55)</f>
        <v>55</v>
      </c>
      <c r="J138" s="267">
        <f ca="1">IFERROR(__xludf.DUMMYFUNCTION("IMPORTRANGE(""https://docs.google.com/spreadsheets/d/11923uPwbBZFjjGgGUA6NLw09EwE0CqkOc4q9oUmW1yo/edit?usp=sharing"",""พะเยา!J68"")"),55)</f>
        <v>55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828600</v>
      </c>
      <c r="M140" s="152">
        <f t="shared" ca="1" si="64"/>
        <v>882700</v>
      </c>
      <c r="N140" s="152">
        <f t="shared" ca="1" si="64"/>
        <v>660758</v>
      </c>
      <c r="O140" s="151">
        <f t="shared" ref="O140:O142" ca="1" si="65">IF(L140&gt;0,N140*100/L140,0)</f>
        <v>79.743905382573018</v>
      </c>
      <c r="P140" s="151">
        <f t="shared" ref="P140:P142" ca="1" si="66">IF(M140&gt;0,N140*100/M140,0)</f>
        <v>74.856463124504359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828600</v>
      </c>
      <c r="M142" s="88">
        <f t="shared" ca="1" si="68"/>
        <v>882700</v>
      </c>
      <c r="N142" s="88">
        <f t="shared" ca="1" si="68"/>
        <v>660758</v>
      </c>
      <c r="O142" s="156">
        <f t="shared" ca="1" si="65"/>
        <v>79.743905382573018</v>
      </c>
      <c r="P142" s="156">
        <f t="shared" ca="1" si="66"/>
        <v>74.856463124504359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828600</v>
      </c>
      <c r="M144" s="167">
        <f ca="1">IFERROR(__xludf.DUMMYFUNCTION("IMPORTRANGE(""https://docs.google.com/spreadsheets/d/1Yj_ptqi66GCucihVvJfMjLAmec39IyEx_6qawtMGysU/edit?usp=sharing"",""สบก!BJ26"")"),882700)</f>
        <v>882700</v>
      </c>
      <c r="N144" s="168">
        <f ca="1">IFERROR(__xludf.DUMMYFUNCTION("IMPORTRANGE(""https://docs.google.com/spreadsheets/d/1Yj_ptqi66GCucihVvJfMjLAmec39IyEx_6qawtMGysU/edit?usp=sharing"",""สบก!BK26"")"),660758)</f>
        <v>660758</v>
      </c>
      <c r="O144" s="168">
        <f ca="1">IF(L144&gt;0,N144*100/L144,0)</f>
        <v>79.743905382573018</v>
      </c>
      <c r="P144" s="168">
        <f ca="1">IF(M144&gt;0,N144*100/M144,0)</f>
        <v>74.856463124504359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IFERROR(__xludf.DUMMYFUNCTION("IMPORTRANGE(""https://docs.google.com/spreadsheets/d/1Yj_ptqi66GCucihVvJfMjLAmec39IyEx_6qawtMGysU/edit?usp=sharing"",""สบก!BF26"")"),462100)</f>
        <v>462100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IFERROR(__xludf.DUMMYFUNCTION("IMPORTRANGE(""https://docs.google.com/spreadsheets/d/1Yj_ptqi66GCucihVvJfMjLAmec39IyEx_6qawtMGysU/edit?usp=sharing"",""สบก!BG26"")"),366500)</f>
        <v>366500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IFERROR(__xludf.DUMMYFUNCTION("IMPORTRANGE(""https://docs.google.com/spreadsheets/d/1Yj_ptqi66GCucihVvJfMjLAmec39IyEx_6qawtMGysU/edit?usp=sharing"",""สบก!BH26"")"),0)</f>
        <v>0</v>
      </c>
      <c r="M148" s="50"/>
      <c r="N148" s="50">
        <f ca="1">IFERROR(__xludf.DUMMYFUNCTION("IMPORTRANGE(""https://docs.google.com/spreadsheets/d/1Yj_ptqi66GCucihVvJfMjLAmec39IyEx_6qawtMGysU/edit?usp=sharing"",""สบก!BL26"")"),0)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IFERROR(__xludf.DUMMYFUNCTION("IMPORTRANGE(""https://docs.google.com/spreadsheets/d/11923uPwbBZFjjGgGUA6NLw09EwE0CqkOc4q9oUmW1yo/edit?usp=sharing"",""พะเยา!I74"")"),4)</f>
        <v>4</v>
      </c>
      <c r="J149" s="275">
        <f ca="1">IFERROR(__xludf.DUMMYFUNCTION("IMPORTRANGE(""https://docs.google.com/spreadsheets/d/11923uPwbBZFjjGgGUA6NLw09EwE0CqkOc4q9oUmW1yo/edit?usp=sharing"",""พะเยา!J74"")"),3)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IFERROR(__xludf.DUMMYFUNCTION("IMPORTRANGE(""https://docs.google.com/spreadsheets/d/11923uPwbBZFjjGgGUA6NLw09EwE0CqkOc4q9oUmW1yo/edit?usp=sharing"",""พะเยา!J79"")"),0)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IFERROR(__xludf.DUMMYFUNCTION("IMPORTRANGE(""https://docs.google.com/spreadsheets/d/11923uPwbBZFjjGgGUA6NLw09EwE0CqkOc4q9oUmW1yo/edit?usp=sharing"",""พะเยา!J80"")"),1)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IFERROR(__xludf.DUMMYFUNCTION("IMPORTRANGE(""https://docs.google.com/spreadsheets/d/11923uPwbBZFjjGgGUA6NLw09EwE0CqkOc4q9oUmW1yo/edit?usp=sharing"",""พะเยา!J81"")"),1)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IFERROR(__xludf.DUMMYFUNCTION("IMPORTRANGE(""https://docs.google.com/spreadsheets/d/11923uPwbBZFjjGgGUA6NLw09EwE0CqkOc4q9oUmW1yo/edit?usp=sharing"",""พะเยา!J82"")"),1)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IFERROR(__xludf.DUMMYFUNCTION("IMPORTRANGE(""https://docs.google.com/spreadsheets/d/11923uPwbBZFjjGgGUA6NLw09EwE0CqkOc4q9oUmW1yo/edit?usp=sharing"",""พะเยา!I83"")"),4)</f>
        <v>4</v>
      </c>
      <c r="J158" s="188">
        <f ca="1">IFERROR(__xludf.DUMMYFUNCTION("IMPORTRANGE(""https://docs.google.com/spreadsheets/d/11923uPwbBZFjjGgGUA6NLw09EwE0CqkOc4q9oUmW1yo/edit?usp=sharing"",""พะเยา!J83"")"),3)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IFERROR(__xludf.DUMMYFUNCTION("IMPORTRANGE(""https://docs.google.com/spreadsheets/d/11923uPwbBZFjjGgGUA6NLw09EwE0CqkOc4q9oUmW1yo/edit?usp=sharing"",""พะเยา!J84"")"),170)</f>
        <v>170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IFERROR(__xludf.DUMMYFUNCTION("IMPORTRANGE(""https://docs.google.com/spreadsheets/d/11923uPwbBZFjjGgGUA6NLw09EwE0CqkOc4q9oUmW1yo/edit?usp=sharing"",""พะเยา!J85"")"),170)</f>
        <v>170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IFERROR(__xludf.DUMMYFUNCTION("IMPORTRANGE(""https://docs.google.com/spreadsheets/d/11923uPwbBZFjjGgGUA6NLw09EwE0CqkOc4q9oUmW1yo/edit?usp=sharing"",""พะเยา!J86"")"),0)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IFERROR(__xludf.DUMMYFUNCTION("IMPORTRANGE(""https://docs.google.com/spreadsheets/d/11923uPwbBZFjjGgGUA6NLw09EwE0CqkOc4q9oUmW1yo/edit?usp=sharing"",""พะเยา!J87"")"),0)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IFERROR(__xludf.DUMMYFUNCTION("IMPORTRANGE(""https://docs.google.com/spreadsheets/d/11923uPwbBZFjjGgGUA6NLw09EwE0CqkOc4q9oUmW1yo/edit?usp=sharing"",""พะเยา!J88"")"),0)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IFERROR(__xludf.DUMMYFUNCTION("IMPORTRANGE(""https://docs.google.com/spreadsheets/d/11923uPwbBZFjjGgGUA6NLw09EwE0CqkOc4q9oUmW1yo/edit?usp=sharing"",""พะเยา!I89"")"),2)</f>
        <v>2</v>
      </c>
      <c r="J164" s="284">
        <f ca="1">IFERROR(__xludf.DUMMYFUNCTION("IMPORTRANGE(""https://docs.google.com/spreadsheets/d/11923uPwbBZFjjGgGUA6NLw09EwE0CqkOc4q9oUmW1yo/edit?usp=sharing"",""พะเยา!J89"")"),2)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IFERROR(__xludf.DUMMYFUNCTION("IMPORTRANGE(""https://docs.google.com/spreadsheets/d/11923uPwbBZFjjGgGUA6NLw09EwE0CqkOc4q9oUmW1yo/edit?usp=sharing"",""พะเยา!J94"")"),0)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IFERROR(__xludf.DUMMYFUNCTION("IMPORTRANGE(""https://docs.google.com/spreadsheets/d/11923uPwbBZFjjGgGUA6NLw09EwE0CqkOc4q9oUmW1yo/edit?usp=sharing"",""พะเยา!J95"")"),1)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IFERROR(__xludf.DUMMYFUNCTION("IMPORTRANGE(""https://docs.google.com/spreadsheets/d/11923uPwbBZFjjGgGUA6NLw09EwE0CqkOc4q9oUmW1yo/edit?usp=sharing"",""พะเยา!J96"")"),1)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IFERROR(__xludf.DUMMYFUNCTION("IMPORTRANGE(""https://docs.google.com/spreadsheets/d/11923uPwbBZFjjGgGUA6NLw09EwE0CqkOc4q9oUmW1yo/edit?usp=sharing"",""พะเยา!J97"")"),1)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IFERROR(__xludf.DUMMYFUNCTION("IMPORTRANGE(""https://docs.google.com/spreadsheets/d/11923uPwbBZFjjGgGUA6NLw09EwE0CqkOc4q9oUmW1yo/edit?usp=sharing"",""พะเยา!I98"")"),2)</f>
        <v>2</v>
      </c>
      <c r="J173" s="188">
        <f ca="1">IFERROR(__xludf.DUMMYFUNCTION("IMPORTRANGE(""https://docs.google.com/spreadsheets/d/11923uPwbBZFjjGgGUA6NLw09EwE0CqkOc4q9oUmW1yo/edit?usp=sharing"",""พะเยา!J98"")"),2)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IFERROR(__xludf.DUMMYFUNCTION("IMPORTRANGE(""https://docs.google.com/spreadsheets/d/11923uPwbBZFjjGgGUA6NLw09EwE0CqkOc4q9oUmW1yo/edit?usp=sharing"",""พะเยา!J99"")"),1)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IFERROR(__xludf.DUMMYFUNCTION("IMPORTRANGE(""https://docs.google.com/spreadsheets/d/11923uPwbBZFjjGgGUA6NLw09EwE0CqkOc4q9oUmW1yo/edit?usp=sharing"",""พะเยา!J100"")"),1)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IFERROR(__xludf.DUMMYFUNCTION("IMPORTRANGE(""https://docs.google.com/spreadsheets/d/11923uPwbBZFjjGgGUA6NLw09EwE0CqkOc4q9oUmW1yo/edit?usp=sharing"",""พะเยา!I101"")"),0)</f>
        <v>0</v>
      </c>
      <c r="J176" s="284">
        <f ca="1">IFERROR(__xludf.DUMMYFUNCTION("IMPORTRANGE(""https://docs.google.com/spreadsheets/d/11923uPwbBZFjjGgGUA6NLw09EwE0CqkOc4q9oUmW1yo/edit?usp=sharing"",""พะเยา!J101"")"),0)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IFERROR(__xludf.DUMMYFUNCTION("IMPORTRANGE(""https://docs.google.com/spreadsheets/d/11923uPwbBZFjjGgGUA6NLw09EwE0CqkOc4q9oUmW1yo/edit?usp=sharing"",""พะเยา!J106"")"),0)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IFERROR(__xludf.DUMMYFUNCTION("IMPORTRANGE(""https://docs.google.com/spreadsheets/d/11923uPwbBZFjjGgGUA6NLw09EwE0CqkOc4q9oUmW1yo/edit?usp=sharing"",""พะเยา!J107"")"),0)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IFERROR(__xludf.DUMMYFUNCTION("IMPORTRANGE(""https://docs.google.com/spreadsheets/d/11923uPwbBZFjjGgGUA6NLw09EwE0CqkOc4q9oUmW1yo/edit?usp=sharing"",""พะเยา!J108"")"),0)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IFERROR(__xludf.DUMMYFUNCTION("IMPORTRANGE(""https://docs.google.com/spreadsheets/d/11923uPwbBZFjjGgGUA6NLw09EwE0CqkOc4q9oUmW1yo/edit?usp=sharing"",""พะเยา!J109"")"),0)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IFERROR(__xludf.DUMMYFUNCTION("IMPORTRANGE(""https://docs.google.com/spreadsheets/d/11923uPwbBZFjjGgGUA6NLw09EwE0CqkOc4q9oUmW1yo/edit?usp=sharing"",""พะเยา!I110"")"),0)</f>
        <v>0</v>
      </c>
      <c r="J185" s="203">
        <f ca="1">IFERROR(__xludf.DUMMYFUNCTION("IMPORTRANGE(""https://docs.google.com/spreadsheets/d/11923uPwbBZFjjGgGUA6NLw09EwE0CqkOc4q9oUmW1yo/edit?usp=sharing"",""พะเยา!J110"")"),0)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IFERROR(__xludf.DUMMYFUNCTION("IMPORTRANGE(""https://docs.google.com/spreadsheets/d/11923uPwbBZFjjGgGUA6NLw09EwE0CqkOc4q9oUmW1yo/edit?usp=sharing"",""พะเยา!I111"")"),0)</f>
        <v>0</v>
      </c>
      <c r="J186" s="203">
        <f ca="1">IFERROR(__xludf.DUMMYFUNCTION("IMPORTRANGE(""https://docs.google.com/spreadsheets/d/11923uPwbBZFjjGgGUA6NLw09EwE0CqkOc4q9oUmW1yo/edit?usp=sharing"",""พะเยา!J111"")"),0)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IFERROR(__xludf.DUMMYFUNCTION("IMPORTRANGE(""https://docs.google.com/spreadsheets/d/11923uPwbBZFjjGgGUA6NLw09EwE0CqkOc4q9oUmW1yo/edit?usp=sharing"",""พะเยา!J112"")"),0)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IFERROR(__xludf.DUMMYFUNCTION("IMPORTRANGE(""https://docs.google.com/spreadsheets/d/11923uPwbBZFjjGgGUA6NLw09EwE0CqkOc4q9oUmW1yo/edit?usp=sharing"",""พะเยา!J113"")"),0)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IFERROR(__xludf.DUMMYFUNCTION("IMPORTRANGE(""https://docs.google.com/spreadsheets/d/11923uPwbBZFjjGgGUA6NLw09EwE0CqkOc4q9oUmW1yo/edit?usp=sharing"",""พะเยา!I114"")"),20000)</f>
        <v>20000</v>
      </c>
      <c r="J189" s="284">
        <f ca="1">IFERROR(__xludf.DUMMYFUNCTION("IMPORTRANGE(""https://docs.google.com/spreadsheets/d/11923uPwbBZFjjGgGUA6NLw09EwE0CqkOc4q9oUmW1yo/edit?usp=sharing"",""พะเยา!J114"")"),20000)</f>
        <v>20000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IFERROR(__xludf.DUMMYFUNCTION("IMPORTRANGE(""https://docs.google.com/spreadsheets/d/11923uPwbBZFjjGgGUA6NLw09EwE0CqkOc4q9oUmW1yo/edit?usp=sharing"",""พะเยา!J119"")"),0)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IFERROR(__xludf.DUMMYFUNCTION("IMPORTRANGE(""https://docs.google.com/spreadsheets/d/11923uPwbBZFjjGgGUA6NLw09EwE0CqkOc4q9oUmW1yo/edit?usp=sharing"",""พะเยา!J120"")"),1)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IFERROR(__xludf.DUMMYFUNCTION("IMPORTRANGE(""https://docs.google.com/spreadsheets/d/11923uPwbBZFjjGgGUA6NLw09EwE0CqkOc4q9oUmW1yo/edit?usp=sharing"",""พะเยา!J121"")"),1)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IFERROR(__xludf.DUMMYFUNCTION("IMPORTRANGE(""https://docs.google.com/spreadsheets/d/11923uPwbBZFjjGgGUA6NLw09EwE0CqkOc4q9oUmW1yo/edit?usp=sharing"",""พะเยา!J122"")"),1)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IFERROR(__xludf.DUMMYFUNCTION("IMPORTRANGE(""https://docs.google.com/spreadsheets/d/11923uPwbBZFjjGgGUA6NLw09EwE0CqkOc4q9oUmW1yo/edit?usp=sharing"",""พะเยา!I124"")"),20000)</f>
        <v>20000</v>
      </c>
      <c r="J199" s="188">
        <f ca="1">IFERROR(__xludf.DUMMYFUNCTION("IMPORTRANGE(""https://docs.google.com/spreadsheets/d/11923uPwbBZFjjGgGUA6NLw09EwE0CqkOc4q9oUmW1yo/edit?usp=sharing"",""พะเยา!J124"")"),20000)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IFERROR(__xludf.DUMMYFUNCTION("IMPORTRANGE(""https://docs.google.com/spreadsheets/d/11923uPwbBZFjjGgGUA6NLw09EwE0CqkOc4q9oUmW1yo/edit?usp=sharing"",""พะเยา!I125"")"),20000)</f>
        <v>20000</v>
      </c>
      <c r="J200" s="188">
        <f ca="1">IFERROR(__xludf.DUMMYFUNCTION("IMPORTRANGE(""https://docs.google.com/spreadsheets/d/11923uPwbBZFjjGgGUA6NLw09EwE0CqkOc4q9oUmW1yo/edit?usp=sharing"",""พะเยา!J125"")"),20000)</f>
        <v>20000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IFERROR(__xludf.DUMMYFUNCTION("IMPORTRANGE(""https://docs.google.com/spreadsheets/d/11923uPwbBZFjjGgGUA6NLw09EwE0CqkOc4q9oUmW1yo/edit?usp=sharing"",""พะเยา!I126"")"),15)</f>
        <v>15</v>
      </c>
      <c r="J201" s="188">
        <f ca="1">IFERROR(__xludf.DUMMYFUNCTION("IMPORTRANGE(""https://docs.google.com/spreadsheets/d/11923uPwbBZFjjGgGUA6NLw09EwE0CqkOc4q9oUmW1yo/edit?usp=sharing"",""พะเยา!J126"")"),15)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IFERROR(__xludf.DUMMYFUNCTION("IMPORTRANGE(""https://docs.google.com/spreadsheets/d/11923uPwbBZFjjGgGUA6NLw09EwE0CqkOc4q9oUmW1yo/edit?usp=sharing"",""พะเยา!J127"")"),0)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IFERROR(__xludf.DUMMYFUNCTION("IMPORTRANGE(""https://docs.google.com/spreadsheets/d/11923uPwbBZFjjGgGUA6NLw09EwE0CqkOc4q9oUmW1yo/edit?usp=sharing"",""พะเยา!J128"")"),0)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IFERROR(__xludf.DUMMYFUNCTION("IMPORTRANGE(""https://docs.google.com/spreadsheets/d/11923uPwbBZFjjGgGUA6NLw09EwE0CqkOc4q9oUmW1yo/edit?usp=sharing"",""พะเยา!I129"")"),40)</f>
        <v>40</v>
      </c>
      <c r="J204" s="284">
        <f ca="1">IFERROR(__xludf.DUMMYFUNCTION("IMPORTRANGE(""https://docs.google.com/spreadsheets/d/11923uPwbBZFjjGgGUA6NLw09EwE0CqkOc4q9oUmW1yo/edit?usp=sharing"",""พะเยา!J129"")"),40)</f>
        <v>40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IFERROR(__xludf.DUMMYFUNCTION("IMPORTRANGE(""https://docs.google.com/spreadsheets/d/11923uPwbBZFjjGgGUA6NLw09EwE0CqkOc4q9oUmW1yo/edit?usp=sharing"",""พะเยา!J134"")"),0)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IFERROR(__xludf.DUMMYFUNCTION("IMPORTRANGE(""https://docs.google.com/spreadsheets/d/11923uPwbBZFjjGgGUA6NLw09EwE0CqkOc4q9oUmW1yo/edit?usp=sharing"",""พะเยา!J135"")"),1)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IFERROR(__xludf.DUMMYFUNCTION("IMPORTRANGE(""https://docs.google.com/spreadsheets/d/11923uPwbBZFjjGgGUA6NLw09EwE0CqkOc4q9oUmW1yo/edit?usp=sharing"",""พะเยา!J136"")"),1)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IFERROR(__xludf.DUMMYFUNCTION("IMPORTRANGE(""https://docs.google.com/spreadsheets/d/11923uPwbBZFjjGgGUA6NLw09EwE0CqkOc4q9oUmW1yo/edit?usp=sharing"",""พะเยา!J137"")"),1)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IFERROR(__xludf.DUMMYFUNCTION("IMPORTRANGE(""https://docs.google.com/spreadsheets/d/11923uPwbBZFjjGgGUA6NLw09EwE0CqkOc4q9oUmW1yo/edit?usp=sharing"",""พะเยา!I138"")"),40)</f>
        <v>40</v>
      </c>
      <c r="J213" s="203">
        <f ca="1">IFERROR(__xludf.DUMMYFUNCTION("IMPORTRANGE(""https://docs.google.com/spreadsheets/d/11923uPwbBZFjjGgGUA6NLw09EwE0CqkOc4q9oUmW1yo/edit?usp=sharing"",""พะเยา!J138"")"),40)</f>
        <v>40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IFERROR(__xludf.DUMMYFUNCTION("IMPORTRANGE(""https://docs.google.com/spreadsheets/d/11923uPwbBZFjjGgGUA6NLw09EwE0CqkOc4q9oUmW1yo/edit?usp=sharing"",""พะเยา!I140"")"),40)</f>
        <v>40</v>
      </c>
      <c r="J215" s="203">
        <f ca="1">IFERROR(__xludf.DUMMYFUNCTION("IMPORTRANGE(""https://docs.google.com/spreadsheets/d/11923uPwbBZFjjGgGUA6NLw09EwE0CqkOc4q9oUmW1yo/edit?usp=sharing"",""พะเยา!J140"")"),0)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IFERROR(__xludf.DUMMYFUNCTION("IMPORTRANGE(""https://docs.google.com/spreadsheets/d/11923uPwbBZFjjGgGUA6NLw09EwE0CqkOc4q9oUmW1yo/edit?usp=sharing"",""พะเยา!I141"")"),2)</f>
        <v>2</v>
      </c>
      <c r="J216" s="203">
        <f ca="1">IFERROR(__xludf.DUMMYFUNCTION("IMPORTRANGE(""https://docs.google.com/spreadsheets/d/11923uPwbBZFjjGgGUA6NLw09EwE0CqkOc4q9oUmW1yo/edit?usp=sharing"",""พะเยา!J141"")"),0)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IFERROR(__xludf.DUMMYFUNCTION("IMPORTRANGE(""https://docs.google.com/spreadsheets/d/11923uPwbBZFjjGgGUA6NLw09EwE0CqkOc4q9oUmW1yo/edit?usp=sharing"",""พะเยา!J142"")"),0)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IFERROR(__xludf.DUMMYFUNCTION("IMPORTRANGE(""https://docs.google.com/spreadsheets/d/11923uPwbBZFjjGgGUA6NLw09EwE0CqkOc4q9oUmW1yo/edit?usp=sharing"",""พะเยา!J143"")"),0)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IFERROR(__xludf.DUMMYFUNCTION("IMPORTRANGE(""https://docs.google.com/spreadsheets/d/11923uPwbBZFjjGgGUA6NLw09EwE0CqkOc4q9oUmW1yo/edit?usp=sharing"",""พะเยา!I144"")"),15)</f>
        <v>15</v>
      </c>
      <c r="J219" s="267">
        <f ca="1">IFERROR(__xludf.DUMMYFUNCTION("IMPORTRANGE(""https://docs.google.com/spreadsheets/d/11923uPwbBZFjjGgGUA6NLw09EwE0CqkOc4q9oUmW1yo/edit?usp=sharing"",""พะเยา!J144"")"),15)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IFERROR(__xludf.DUMMYFUNCTION("IMPORTRANGE(""https://docs.google.com/spreadsheets/d/1Yj_ptqi66GCucihVvJfMjLAmec39IyEx_6qawtMGysU/edit?usp=sharing"",""สบก!BS26"")"),21125)</f>
        <v>21125</v>
      </c>
      <c r="N224" s="168">
        <f ca="1">IFERROR(__xludf.DUMMYFUNCTION("IMPORTRANGE(""https://docs.google.com/spreadsheets/d/1Yj_ptqi66GCucihVvJfMjLAmec39IyEx_6qawtMGysU/edit?usp=sharing"",""สบก!BT26"")"),21125)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IFERROR(__xludf.DUMMYFUNCTION("IMPORTRANGE(""https://docs.google.com/spreadsheets/d/1Yj_ptqi66GCucihVvJfMjLAmec39IyEx_6qawtMGysU/edit?usp=sharing"",""สบก!BO26"")"),0)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IFERROR(__xludf.DUMMYFUNCTION("IMPORTRANGE(""https://docs.google.com/spreadsheets/d/1Yj_ptqi66GCucihVvJfMjLAmec39IyEx_6qawtMGysU/edit?usp=sharing"",""สบก!BP26"")"),21125)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IFERROR(__xludf.DUMMYFUNCTION("IMPORTRANGE(""https://docs.google.com/spreadsheets/d/1Yj_ptqi66GCucihVvJfMjLAmec39IyEx_6qawtMGysU/edit?usp=sharing"",""สบก!BQ26"")"),0)</f>
        <v>0</v>
      </c>
      <c r="M228" s="50"/>
      <c r="N228" s="50">
        <f ca="1">IFERROR(__xludf.DUMMYFUNCTION("IMPORTRANGE(""https://docs.google.com/spreadsheets/d/1Yj_ptqi66GCucihVvJfMjLAmec39IyEx_6qawtMGysU/edit?usp=sharing"",""สบก!BU26"")"),0)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IFERROR(__xludf.DUMMYFUNCTION("IMPORTRANGE(""https://docs.google.com/spreadsheets/d/11923uPwbBZFjjGgGUA6NLw09EwE0CqkOc4q9oUmW1yo/edit?usp=sharing"",""พะเยา!I149"")"),15)</f>
        <v>15</v>
      </c>
      <c r="J229" s="267">
        <f ca="1">IFERROR(__xludf.DUMMYFUNCTION("IMPORTRANGE(""https://docs.google.com/spreadsheets/d/11923uPwbBZFjjGgGUA6NLw09EwE0CqkOc4q9oUmW1yo/edit?usp=sharing"",""พะเยา!J149"")"),15)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IFERROR(__xludf.DUMMYFUNCTION("IMPORTRANGE(""https://docs.google.com/spreadsheets/d/11923uPwbBZFjjGgGUA6NLw09EwE0CqkOc4q9oUmW1yo/edit?usp=sharing"",""พะเยา!J151"")"),0)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IFERROR(__xludf.DUMMYFUNCTION("IMPORTRANGE(""https://docs.google.com/spreadsheets/d/11923uPwbBZFjjGgGUA6NLw09EwE0CqkOc4q9oUmW1yo/edit?usp=sharing"",""พะเยา!J152"")"),0)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IFERROR(__xludf.DUMMYFUNCTION("IMPORTRANGE(""https://docs.google.com/spreadsheets/d/11923uPwbBZFjjGgGUA6NLw09EwE0CqkOc4q9oUmW1yo/edit?usp=sharing"",""พะเยา!J153"")"),1)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IFERROR(__xludf.DUMMYFUNCTION("IMPORTRANGE(""https://docs.google.com/spreadsheets/d/11923uPwbBZFjjGgGUA6NLw09EwE0CqkOc4q9oUmW1yo/edit?usp=sharing"",""พะเยา!J154"")"),1)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IFERROR(__xludf.DUMMYFUNCTION("IMPORTRANGE(""https://docs.google.com/spreadsheets/d/11923uPwbBZFjjGgGUA6NLw09EwE0CqkOc4q9oUmW1yo/edit?usp=sharing"",""พะเยา!I155"")"),15)</f>
        <v>15</v>
      </c>
      <c r="J235" s="188">
        <f ca="1">IFERROR(__xludf.DUMMYFUNCTION("IMPORTRANGE(""https://docs.google.com/spreadsheets/d/11923uPwbBZFjjGgGUA6NLw09EwE0CqkOc4q9oUmW1yo/edit?usp=sharing"",""พะเยา!J155"")"),15)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IFERROR(__xludf.DUMMYFUNCTION("IMPORTRANGE(""https://docs.google.com/spreadsheets/d/11923uPwbBZFjjGgGUA6NLw09EwE0CqkOc4q9oUmW1yo/edit?usp=sharing"",""พะเยา!J156"")"),15)</f>
        <v>15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IFERROR(__xludf.DUMMYFUNCTION("IMPORTRANGE(""https://docs.google.com/spreadsheets/d/11923uPwbBZFjjGgGUA6NLw09EwE0CqkOc4q9oUmW1yo/edit?usp=sharing"",""พะเยา!J157"")"),1)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IFERROR(__xludf.DUMMYFUNCTION("IMPORTRANGE(""https://docs.google.com/spreadsheets/d/11923uPwbBZFjjGgGUA6NLw09EwE0CqkOc4q9oUmW1yo/edit?usp=sharing"",""พะเยา!I158"")"),0)</f>
        <v>0</v>
      </c>
      <c r="J238" s="267">
        <f ca="1">IFERROR(__xludf.DUMMYFUNCTION("IMPORTRANGE(""https://docs.google.com/spreadsheets/d/11923uPwbBZFjjGgGUA6NLw09EwE0CqkOc4q9oUmW1yo/edit?usp=sharing"",""พะเยา!J158"")"),0)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IFERROR(__xludf.DUMMYFUNCTION("IMPORTRANGE(""https://docs.google.com/spreadsheets/d/11923uPwbBZFjjGgGUA6NLw09EwE0CqkOc4q9oUmW1yo/edit?usp=sharing"",""พะเยา!J159"")"),"")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IFERROR(__xludf.DUMMYFUNCTION("IMPORTRANGE(""https://docs.google.com/spreadsheets/d/11923uPwbBZFjjGgGUA6NLw09EwE0CqkOc4q9oUmW1yo/edit?usp=sharing"",""พะเยา!J161"")"),0)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IFERROR(__xludf.DUMMYFUNCTION("IMPORTRANGE(""https://docs.google.com/spreadsheets/d/11923uPwbBZFjjGgGUA6NLw09EwE0CqkOc4q9oUmW1yo/edit?usp=sharing"",""พะเยา!J162"")"),0)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IFERROR(__xludf.DUMMYFUNCTION("IMPORTRANGE(""https://docs.google.com/spreadsheets/d/11923uPwbBZFjjGgGUA6NLw09EwE0CqkOc4q9oUmW1yo/edit?usp=sharing"",""พะเยา!J163"")"),0)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IFERROR(__xludf.DUMMYFUNCTION("IMPORTRANGE(""https://docs.google.com/spreadsheets/d/11923uPwbBZFjjGgGUA6NLw09EwE0CqkOc4q9oUmW1yo/edit?usp=sharing"",""พะเยา!I164"")"),0)</f>
        <v>0</v>
      </c>
      <c r="J244" s="187">
        <f ca="1">IFERROR(__xludf.DUMMYFUNCTION("IMPORTRANGE(""https://docs.google.com/spreadsheets/d/11923uPwbBZFjjGgGUA6NLw09EwE0CqkOc4q9oUmW1yo/edit?usp=sharing"",""พะเยา!J164"")"),0)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IFERROR(__xludf.DUMMYFUNCTION("IMPORTRANGE(""https://docs.google.com/spreadsheets/d/11923uPwbBZFjjGgGUA6NLw09EwE0CqkOc4q9oUmW1yo/edit?usp=sharing"",""พะเยา!J165"")"),0)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IFERROR(__xludf.DUMMYFUNCTION("IMPORTRANGE(""https://docs.google.com/spreadsheets/d/11923uPwbBZFjjGgGUA6NLw09EwE0CqkOc4q9oUmW1yo/edit?usp=sharing"",""พะเยา!J166"")"),0)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IFERROR(__xludf.DUMMYFUNCTION("IMPORTRANGE(""https://docs.google.com/spreadsheets/d/11923uPwbBZFjjGgGUA6NLw09EwE0CqkOc4q9oUmW1yo/edit?usp=sharing"",""พะเยา!I169"")"),20)</f>
        <v>20</v>
      </c>
      <c r="J249" s="316">
        <f ca="1">IFERROR(__xludf.DUMMYFUNCTION("IMPORTRANGE(""https://docs.google.com/spreadsheets/d/11923uPwbBZFjjGgGUA6NLw09EwE0CqkOc4q9oUmW1yo/edit?usp=sharing"",""พะเยา!J169"")"),20)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33049</v>
      </c>
      <c r="O250" s="151">
        <f t="shared" ref="O250:O252" ca="1" si="78">IF(L250&gt;0,N250*100/L250,0)</f>
        <v>46.287114845938376</v>
      </c>
      <c r="P250" s="151">
        <f t="shared" ref="P250:P252" ca="1" si="79">IF(M250&gt;0,N250*100/M250,0)</f>
        <v>46.287114845938376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33049</v>
      </c>
      <c r="O252" s="156">
        <f t="shared" ca="1" si="78"/>
        <v>46.287114845938376</v>
      </c>
      <c r="P252" s="156">
        <f t="shared" ca="1" si="79"/>
        <v>46.287114845938376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IFERROR(__xludf.DUMMYFUNCTION("IMPORTRANGE(""https://docs.google.com/spreadsheets/d/1Yj_ptqi66GCucihVvJfMjLAmec39IyEx_6qawtMGysU/edit?usp=sharing"",""สบก!CB26"")"),71400)</f>
        <v>71400</v>
      </c>
      <c r="N254" s="168">
        <f ca="1">IFERROR(__xludf.DUMMYFUNCTION("IMPORTRANGE(""https://docs.google.com/spreadsheets/d/1Yj_ptqi66GCucihVvJfMjLAmec39IyEx_6qawtMGysU/edit?usp=sharing"",""สบก!CC26"")"),33049)</f>
        <v>33049</v>
      </c>
      <c r="O254" s="168">
        <f ca="1">IF(L254&gt;0,N254*100/L254,0)</f>
        <v>46.287114845938376</v>
      </c>
      <c r="P254" s="168">
        <f ca="1">IF(M254&gt;0,N254*100/M254,0)</f>
        <v>46.287114845938376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IFERROR(__xludf.DUMMYFUNCTION("IMPORTRANGE(""https://docs.google.com/spreadsheets/d/1Yj_ptqi66GCucihVvJfMjLAmec39IyEx_6qawtMGysU/edit?usp=sharing"",""สบก!BX26"")"),0)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IFERROR(__xludf.DUMMYFUNCTION("IMPORTRANGE(""https://docs.google.com/spreadsheets/d/1Yj_ptqi66GCucihVvJfMjLAmec39IyEx_6qawtMGysU/edit?usp=sharing"",""สบก!BY26"")"),71400)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IFERROR(__xludf.DUMMYFUNCTION("IMPORTRANGE(""https://docs.google.com/spreadsheets/d/1Yj_ptqi66GCucihVvJfMjLAmec39IyEx_6qawtMGysU/edit?usp=sharing"",""สบก!BZ26"")"),0)</f>
        <v>0</v>
      </c>
      <c r="M258" s="50"/>
      <c r="N258" s="50">
        <f ca="1">IFERROR(__xludf.DUMMYFUNCTION("IMPORTRANGE(""https://docs.google.com/spreadsheets/d/1Yj_ptqi66GCucihVvJfMjLAmec39IyEx_6qawtMGysU/edit?usp=sharing"",""สบก!CD26"")"),0)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IFERROR(__xludf.DUMMYFUNCTION("IMPORTRANGE(""https://docs.google.com/spreadsheets/d/11923uPwbBZFjjGgGUA6NLw09EwE0CqkOc4q9oUmW1yo/edit?usp=sharing"",""พะเยา!J175"")"),0)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IFERROR(__xludf.DUMMYFUNCTION("IMPORTRANGE(""https://docs.google.com/spreadsheets/d/11923uPwbBZFjjGgGUA6NLw09EwE0CqkOc4q9oUmW1yo/edit?usp=sharing"",""พะเยา!J176"")"),1)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IFERROR(__xludf.DUMMYFUNCTION("IMPORTRANGE(""https://docs.google.com/spreadsheets/d/11923uPwbBZFjjGgGUA6NLw09EwE0CqkOc4q9oUmW1yo/edit?usp=sharing"",""พะเยา!J177"")"),1)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IFERROR(__xludf.DUMMYFUNCTION("IMPORTRANGE(""https://docs.google.com/spreadsheets/d/11923uPwbBZFjjGgGUA6NLw09EwE0CqkOc4q9oUmW1yo/edit?usp=sharing"",""พะเยา!J178"")"),1)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IFERROR(__xludf.DUMMYFUNCTION("IMPORTRANGE(""https://docs.google.com/spreadsheets/d/11923uPwbBZFjjGgGUA6NLw09EwE0CqkOc4q9oUmW1yo/edit?usp=sharing"",""พะเยา!I179"")"),1)</f>
        <v>1</v>
      </c>
      <c r="J264" s="188">
        <f ca="1">IFERROR(__xludf.DUMMYFUNCTION("IMPORTRANGE(""https://docs.google.com/spreadsheets/d/11923uPwbBZFjjGgGUA6NLw09EwE0CqkOc4q9oUmW1yo/edit?usp=sharing"",""พะเยา!J179"")"),1)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IFERROR(__xludf.DUMMYFUNCTION("IMPORTRANGE(""https://docs.google.com/spreadsheets/d/11923uPwbBZFjjGgGUA6NLw09EwE0CqkOc4q9oUmW1yo/edit?usp=sharing"",""พะเยา!I180"")"),20)</f>
        <v>20</v>
      </c>
      <c r="J265" s="188">
        <f ca="1">IFERROR(__xludf.DUMMYFUNCTION("IMPORTRANGE(""https://docs.google.com/spreadsheets/d/11923uPwbBZFjjGgGUA6NLw09EwE0CqkOc4q9oUmW1yo/edit?usp=sharing"",""พะเยา!J180"")"),20)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IFERROR(__xludf.DUMMYFUNCTION("IMPORTRANGE(""https://docs.google.com/spreadsheets/d/11923uPwbBZFjjGgGUA6NLw09EwE0CqkOc4q9oUmW1yo/edit?usp=sharing"",""พะเยา!I181"")"),20)</f>
        <v>20</v>
      </c>
      <c r="J266" s="188">
        <f ca="1">IFERROR(__xludf.DUMMYFUNCTION("IMPORTRANGE(""https://docs.google.com/spreadsheets/d/11923uPwbBZFjjGgGUA6NLw09EwE0CqkOc4q9oUmW1yo/edit?usp=sharing"",""พะเยา!J181"")"),0)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IFERROR(__xludf.DUMMYFUNCTION("IMPORTRANGE(""https://docs.google.com/spreadsheets/d/11923uPwbBZFjjGgGUA6NLw09EwE0CqkOc4q9oUmW1yo/edit?usp=sharing"",""พะเยา!I182"")"),1)</f>
        <v>1</v>
      </c>
      <c r="J267" s="188">
        <f ca="1">IFERROR(__xludf.DUMMYFUNCTION("IMPORTRANGE(""https://docs.google.com/spreadsheets/d/11923uPwbBZFjjGgGUA6NLw09EwE0CqkOc4q9oUmW1yo/edit?usp=sharing"",""พะเยา!J182"")"),1)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IFERROR(__xludf.DUMMYFUNCTION("IMPORTRANGE(""https://docs.google.com/spreadsheets/d/11923uPwbBZFjjGgGUA6NLw09EwE0CqkOc4q9oUmW1yo/edit?usp=sharing"",""พะเยา!J183"")"),0)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IFERROR(__xludf.DUMMYFUNCTION("IMPORTRANGE(""https://docs.google.com/spreadsheets/d/11923uPwbBZFjjGgGUA6NLw09EwE0CqkOc4q9oUmW1yo/edit?usp=sharing"",""พะเยา!J184"")"),0)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IFERROR(__xludf.DUMMYFUNCTION("IMPORTRANGE(""https://docs.google.com/spreadsheets/d/11923uPwbBZFjjGgGUA6NLw09EwE0CqkOc4q9oUmW1yo/edit?usp=sharing"",""พะเยา!I185"")"),20)</f>
        <v>20</v>
      </c>
      <c r="J270" s="316">
        <f ca="1">IFERROR(__xludf.DUMMYFUNCTION("IMPORTRANGE(""https://docs.google.com/spreadsheets/d/11923uPwbBZFjjGgGUA6NLw09EwE0CqkOc4q9oUmW1yo/edit?usp=sharing"",""พะเยา!J185"")"),20)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141263</v>
      </c>
      <c r="O271" s="151">
        <f t="shared" ref="O271:O273" ca="1" si="84">IF(L271&gt;0,N271*100/L271,0)</f>
        <v>76.940631808278866</v>
      </c>
      <c r="P271" s="151">
        <f t="shared" ref="P271:P273" ca="1" si="85">IF(M271&gt;0,N271*100/M271,0)</f>
        <v>76.940631808278866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183600</v>
      </c>
      <c r="N273" s="88">
        <f t="shared" ca="1" si="87"/>
        <v>141263</v>
      </c>
      <c r="O273" s="156">
        <f t="shared" ca="1" si="84"/>
        <v>76.940631808278866</v>
      </c>
      <c r="P273" s="156">
        <f t="shared" ca="1" si="85"/>
        <v>76.940631808278866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IFERROR(__xludf.DUMMYFUNCTION("IMPORTRANGE(""https://docs.google.com/spreadsheets/d/1Yj_ptqi66GCucihVvJfMjLAmec39IyEx_6qawtMGysU/edit?usp=sharing"",""สบก!CK26"")"),183600)</f>
        <v>183600</v>
      </c>
      <c r="N275" s="168">
        <f ca="1">IFERROR(__xludf.DUMMYFUNCTION("IMPORTRANGE(""https://docs.google.com/spreadsheets/d/1Yj_ptqi66GCucihVvJfMjLAmec39IyEx_6qawtMGysU/edit?usp=sharing"",""สบก!CL26"")"),141263)</f>
        <v>141263</v>
      </c>
      <c r="O275" s="168">
        <f ca="1">IF(L275&gt;0,N275*100/L275,0)</f>
        <v>76.940631808278866</v>
      </c>
      <c r="P275" s="168">
        <f ca="1">IF(M275&gt;0,N275*100/M275,0)</f>
        <v>76.940631808278866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IFERROR(__xludf.DUMMYFUNCTION("IMPORTRANGE(""https://docs.google.com/spreadsheets/d/1Yj_ptqi66GCucihVvJfMjLAmec39IyEx_6qawtMGysU/edit?usp=sharing"",""สบก!CG26"")"),0)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IFERROR(__xludf.DUMMYFUNCTION("IMPORTRANGE(""https://docs.google.com/spreadsheets/d/1Yj_ptqi66GCucihVvJfMjLAmec39IyEx_6qawtMGysU/edit?usp=sharing"",""สบก!CH26"")"),183600)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IFERROR(__xludf.DUMMYFUNCTION("IMPORTRANGE(""https://docs.google.com/spreadsheets/d/1Yj_ptqi66GCucihVvJfMjLAmec39IyEx_6qawtMGysU/edit?usp=sharing"",""สบก!CI26"")"),0)</f>
        <v>0</v>
      </c>
      <c r="M279" s="50"/>
      <c r="N279" s="50">
        <f ca="1">IFERROR(__xludf.DUMMYFUNCTION("IMPORTRANGE(""https://docs.google.com/spreadsheets/d/1Yj_ptqi66GCucihVvJfMjLAmec39IyEx_6qawtMGysU/edit?usp=sharing"",""สบก!CM26"")"),0)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IFERROR(__xludf.DUMMYFUNCTION("IMPORTRANGE(""https://docs.google.com/spreadsheets/d/11923uPwbBZFjjGgGUA6NLw09EwE0CqkOc4q9oUmW1yo/edit?usp=sharing"",""พะเยา!J191"")"),0)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IFERROR(__xludf.DUMMYFUNCTION("IMPORTRANGE(""https://docs.google.com/spreadsheets/d/11923uPwbBZFjjGgGUA6NLw09EwE0CqkOc4q9oUmW1yo/edit?usp=sharing"",""พะเยา!J192"")"),1)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IFERROR(__xludf.DUMMYFUNCTION("IMPORTRANGE(""https://docs.google.com/spreadsheets/d/11923uPwbBZFjjGgGUA6NLw09EwE0CqkOc4q9oUmW1yo/edit?usp=sharing"",""พะเยา!J193"")"),1)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IFERROR(__xludf.DUMMYFUNCTION("IMPORTRANGE(""https://docs.google.com/spreadsheets/d/11923uPwbBZFjjGgGUA6NLw09EwE0CqkOc4q9oUmW1yo/edit?usp=sharing"",""พะเยา!J194"")"),1)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IFERROR(__xludf.DUMMYFUNCTION("IMPORTRANGE(""https://docs.google.com/spreadsheets/d/11923uPwbBZFjjGgGUA6NLw09EwE0CqkOc4q9oUmW1yo/edit?usp=sharing"",""พะเยา!I195"")"),20)</f>
        <v>20</v>
      </c>
      <c r="J285" s="188">
        <f ca="1">IFERROR(__xludf.DUMMYFUNCTION("IMPORTRANGE(""https://docs.google.com/spreadsheets/d/11923uPwbBZFjjGgGUA6NLw09EwE0CqkOc4q9oUmW1yo/edit?usp=sharing"",""พะเยา!J195"")"),20)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IFERROR(__xludf.DUMMYFUNCTION("IMPORTRANGE(""https://docs.google.com/spreadsheets/d/11923uPwbBZFjjGgGUA6NLw09EwE0CqkOc4q9oUmW1yo/edit?usp=sharing"",""พะเยา!J196"")"),0)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IFERROR(__xludf.DUMMYFUNCTION("IMPORTRANGE(""https://docs.google.com/spreadsheets/d/11923uPwbBZFjjGgGUA6NLw09EwE0CqkOc4q9oUmW1yo/edit?usp=sharing"",""พะเยา!J197"")"),0)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IFERROR(__xludf.DUMMYFUNCTION("IMPORTRANGE(""https://docs.google.com/spreadsheets/d/11923uPwbBZFjjGgGUA6NLw09EwE0CqkOc4q9oUmW1yo/edit?usp=sharing"",""พะเยา!I199"")"),0)</f>
        <v>0</v>
      </c>
      <c r="J289" s="316">
        <f ca="1">IFERROR(__xludf.DUMMYFUNCTION("IMPORTRANGE(""https://docs.google.com/spreadsheets/d/11923uPwbBZFjjGgGUA6NLw09EwE0CqkOc4q9oUmW1yo/edit?usp=sharing"",""พะเยา!J199"")"),0)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IFERROR(__xludf.DUMMYFUNCTION("IMPORTRANGE(""https://docs.google.com/spreadsheets/d/1Yj_ptqi66GCucihVvJfMjLAmec39IyEx_6qawtMGysU/edit?usp=sharing"",""สบก!CT26"")"),0)</f>
        <v>0</v>
      </c>
      <c r="N294" s="168">
        <f ca="1">IFERROR(__xludf.DUMMYFUNCTION("IMPORTRANGE(""https://docs.google.com/spreadsheets/d/1Yj_ptqi66GCucihVvJfMjLAmec39IyEx_6qawtMGysU/edit?usp=sharing"",""สบก!CU26"")"),0)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IFERROR(__xludf.DUMMYFUNCTION("IMPORTRANGE(""https://docs.google.com/spreadsheets/d/1Yj_ptqi66GCucihVvJfMjLAmec39IyEx_6qawtMGysU/edit?usp=sharing"",""สบก!CP26"")"),0)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IFERROR(__xludf.DUMMYFUNCTION("IMPORTRANGE(""https://docs.google.com/spreadsheets/d/1Yj_ptqi66GCucihVvJfMjLAmec39IyEx_6qawtMGysU/edit?usp=sharing"",""สบก!CQ26"")"),0)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IFERROR(__xludf.DUMMYFUNCTION("IMPORTRANGE(""https://docs.google.com/spreadsheets/d/1Yj_ptqi66GCucihVvJfMjLAmec39IyEx_6qawtMGysU/edit?usp=sharing"",""สบก!CR26"")"),0)</f>
        <v>0</v>
      </c>
      <c r="M298" s="50"/>
      <c r="N298" s="50">
        <f ca="1">IFERROR(__xludf.DUMMYFUNCTION("IMPORTRANGE(""https://docs.google.com/spreadsheets/d/1Yj_ptqi66GCucihVvJfMjLAmec39IyEx_6qawtMGysU/edit?usp=sharing"",""สบก!CV26"")"),0)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IFERROR(__xludf.DUMMYFUNCTION("IMPORTRANGE(""https://docs.google.com/spreadsheets/d/11923uPwbBZFjjGgGUA6NLw09EwE0CqkOc4q9oUmW1yo/edit?usp=sharing"",""พะเยา!J205"")"),0)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IFERROR(__xludf.DUMMYFUNCTION("IMPORTRANGE(""https://docs.google.com/spreadsheets/d/11923uPwbBZFjjGgGUA6NLw09EwE0CqkOc4q9oUmW1yo/edit?usp=sharing"",""พะเยา!J206"")"),0)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IFERROR(__xludf.DUMMYFUNCTION("IMPORTRANGE(""https://docs.google.com/spreadsheets/d/11923uPwbBZFjjGgGUA6NLw09EwE0CqkOc4q9oUmW1yo/edit?usp=sharing"",""พะเยา!J207"")"),0)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IFERROR(__xludf.DUMMYFUNCTION("IMPORTRANGE(""https://docs.google.com/spreadsheets/d/11923uPwbBZFjjGgGUA6NLw09EwE0CqkOc4q9oUmW1yo/edit?usp=sharing"",""พะเยา!J208"")"),0)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IFERROR(__xludf.DUMMYFUNCTION("IMPORTRANGE(""https://docs.google.com/spreadsheets/d/11923uPwbBZFjjGgGUA6NLw09EwE0CqkOc4q9oUmW1yo/edit?usp=sharing"",""พะเยา!I209"")"),0)</f>
        <v>0</v>
      </c>
      <c r="J304" s="203">
        <f ca="1">IFERROR(__xludf.DUMMYFUNCTION("IMPORTRANGE(""https://docs.google.com/spreadsheets/d/11923uPwbBZFjjGgGUA6NLw09EwE0CqkOc4q9oUmW1yo/edit?usp=sharing"",""พะเยา!J209"")"),0)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IFERROR(__xludf.DUMMYFUNCTION("IMPORTRANGE(""https://docs.google.com/spreadsheets/d/11923uPwbBZFjjGgGUA6NLw09EwE0CqkOc4q9oUmW1yo/edit?usp=sharing"",""พะเยา!I211"")"),0)</f>
        <v>0</v>
      </c>
      <c r="J306" s="203">
        <f ca="1">IFERROR(__xludf.DUMMYFUNCTION("IMPORTRANGE(""https://docs.google.com/spreadsheets/d/11923uPwbBZFjjGgGUA6NLw09EwE0CqkOc4q9oUmW1yo/edit?usp=sharing"",""พะเยา!J211"")"),0)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IFERROR(__xludf.DUMMYFUNCTION("IMPORTRANGE(""https://docs.google.com/spreadsheets/d/11923uPwbBZFjjGgGUA6NLw09EwE0CqkOc4q9oUmW1yo/edit?usp=sharing"",""พะเยา!J212"")"),0)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IFERROR(__xludf.DUMMYFUNCTION("IMPORTRANGE(""https://docs.google.com/spreadsheets/d/11923uPwbBZFjjGgGUA6NLw09EwE0CqkOc4q9oUmW1yo/edit?usp=sharing"",""พะเยา!J213"")"),0)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IFERROR(__xludf.DUMMYFUNCTION("IMPORTRANGE(""https://docs.google.com/spreadsheets/d/11923uPwbBZFjjGgGUA6NLw09EwE0CqkOc4q9oUmW1yo/edit?usp=sharing"",""พะเยา!I214"")"),0)</f>
        <v>0</v>
      </c>
      <c r="J309" s="333">
        <f ca="1">IFERROR(__xludf.DUMMYFUNCTION("IMPORTRANGE(""https://docs.google.com/spreadsheets/d/11923uPwbBZFjjGgGUA6NLw09EwE0CqkOc4q9oUmW1yo/edit?usp=sharing"",""พะเยา!J214"")"),0)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IFERROR(__xludf.DUMMYFUNCTION("IMPORTRANGE(""https://docs.google.com/spreadsheets/d/1Yj_ptqi66GCucihVvJfMjLAmec39IyEx_6qawtMGysU/edit?usp=sharing"",""สบก!DC26"")"),0)</f>
        <v>0</v>
      </c>
      <c r="N314" s="168">
        <f ca="1">IFERROR(__xludf.DUMMYFUNCTION("IMPORTRANGE(""https://docs.google.com/spreadsheets/d/1Yj_ptqi66GCucihVvJfMjLAmec39IyEx_6qawtMGysU/edit?usp=sharing"",""สบก!DD26"")"),0)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IFERROR(__xludf.DUMMYFUNCTION("IMPORTRANGE(""https://docs.google.com/spreadsheets/d/1Yj_ptqi66GCucihVvJfMjLAmec39IyEx_6qawtMGysU/edit?usp=sharing"",""สบก!CY26"")"),0)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IFERROR(__xludf.DUMMYFUNCTION("IMPORTRANGE(""https://docs.google.com/spreadsheets/d/1Yj_ptqi66GCucihVvJfMjLAmec39IyEx_6qawtMGysU/edit?usp=sharing"",""สบก!CZ26"")"),0)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IFERROR(__xludf.DUMMYFUNCTION("IMPORTRANGE(""https://docs.google.com/spreadsheets/d/1Yj_ptqi66GCucihVvJfMjLAmec39IyEx_6qawtMGysU/edit?usp=sharing"",""สบก!DA26"")"),0)</f>
        <v>0</v>
      </c>
      <c r="M318" s="50"/>
      <c r="N318" s="50">
        <f ca="1">IFERROR(__xludf.DUMMYFUNCTION("IMPORTRANGE(""https://docs.google.com/spreadsheets/d/1Yj_ptqi66GCucihVvJfMjLAmec39IyEx_6qawtMGysU/edit?usp=sharing"",""สบก!DE26"")"),0)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IFERROR(__xludf.DUMMYFUNCTION("IMPORTRANGE(""https://docs.google.com/spreadsheets/d/11923uPwbBZFjjGgGUA6NLw09EwE0CqkOc4q9oUmW1yo/edit?usp=sharing"",""พะเยา!J220"")"),0)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IFERROR(__xludf.DUMMYFUNCTION("IMPORTRANGE(""https://docs.google.com/spreadsheets/d/11923uPwbBZFjjGgGUA6NLw09EwE0CqkOc4q9oUmW1yo/edit?usp=sharing"",""พะเยา!J221"")"),0)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IFERROR(__xludf.DUMMYFUNCTION("IMPORTRANGE(""https://docs.google.com/spreadsheets/d/11923uPwbBZFjjGgGUA6NLw09EwE0CqkOc4q9oUmW1yo/edit?usp=sharing"",""พะเยา!J222"")"),0)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IFERROR(__xludf.DUMMYFUNCTION("IMPORTRANGE(""https://docs.google.com/spreadsheets/d/11923uPwbBZFjjGgGUA6NLw09EwE0CqkOc4q9oUmW1yo/edit?usp=sharing"",""พะเยา!J223"")"),0)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IFERROR(__xludf.DUMMYFUNCTION("IMPORTRANGE(""https://docs.google.com/spreadsheets/d/11923uPwbBZFjjGgGUA6NLw09EwE0CqkOc4q9oUmW1yo/edit?usp=sharing"",""พะเยา!I224"")"),0)</f>
        <v>0</v>
      </c>
      <c r="J324" s="203">
        <f ca="1">IFERROR(__xludf.DUMMYFUNCTION("IMPORTRANGE(""https://docs.google.com/spreadsheets/d/11923uPwbBZFjjGgGUA6NLw09EwE0CqkOc4q9oUmW1yo/edit?usp=sharing"",""พะเยา!J224"")"),0)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IFERROR(__xludf.DUMMYFUNCTION("IMPORTRANGE(""https://docs.google.com/spreadsheets/d/11923uPwbBZFjjGgGUA6NLw09EwE0CqkOc4q9oUmW1yo/edit?usp=sharing"",""พะเยา!J225"")"),0)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IFERROR(__xludf.DUMMYFUNCTION("IMPORTRANGE(""https://docs.google.com/spreadsheets/d/11923uPwbBZFjjGgGUA6NLw09EwE0CqkOc4q9oUmW1yo/edit?usp=sharing"",""พะเยา!J226"")"),0)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IFERROR(__xludf.DUMMYFUNCTION("IMPORTRANGE(""https://docs.google.com/spreadsheets/d/11923uPwbBZFjjGgGUA6NLw09EwE0CqkOc4q9oUmW1yo/edit?usp=sharing"",""พะเยา!I228"")"),580)</f>
        <v>580</v>
      </c>
      <c r="J328" s="339">
        <f ca="1">IFERROR(__xludf.DUMMYFUNCTION("IMPORTRANGE(""https://docs.google.com/spreadsheets/d/11923uPwbBZFjjGgGUA6NLw09EwE0CqkOc4q9oUmW1yo/edit?usp=sharing"",""พะเยา!J228"")"),402)</f>
        <v>402</v>
      </c>
      <c r="K328" s="317">
        <f ca="1">IF(I328&gt;0,J328*100/I328,0)</f>
        <v>69.310344827586206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613050</v>
      </c>
      <c r="M329" s="152">
        <f t="shared" ca="1" si="98"/>
        <v>687550</v>
      </c>
      <c r="N329" s="152">
        <f t="shared" ca="1" si="98"/>
        <v>495372.7</v>
      </c>
      <c r="O329" s="151">
        <f t="shared" ref="O329:O331" ca="1" si="99">IF(L329&gt;0,N329*100/L329,0)</f>
        <v>80.804616262947562</v>
      </c>
      <c r="P329" s="151">
        <f t="shared" ref="P329:P331" ca="1" si="100">IF(M329&gt;0,N329*100/M329,0)</f>
        <v>72.048970983928442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613050</v>
      </c>
      <c r="M331" s="88">
        <f t="shared" ca="1" si="102"/>
        <v>687550</v>
      </c>
      <c r="N331" s="88">
        <f t="shared" ca="1" si="102"/>
        <v>495372.7</v>
      </c>
      <c r="O331" s="156">
        <f t="shared" ca="1" si="99"/>
        <v>80.804616262947562</v>
      </c>
      <c r="P331" s="156">
        <f t="shared" ca="1" si="100"/>
        <v>72.048970983928442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598050</v>
      </c>
      <c r="M333" s="167">
        <f ca="1">IFERROR(__xludf.DUMMYFUNCTION("IMPORTRANGE(""https://docs.google.com/spreadsheets/d/1Yj_ptqi66GCucihVvJfMjLAmec39IyEx_6qawtMGysU/edit?usp=sharing"",""สบก!DL26"")"),672550)</f>
        <v>672550</v>
      </c>
      <c r="N333" s="168">
        <f ca="1">IFERROR(__xludf.DUMMYFUNCTION("IMPORTRANGE(""https://docs.google.com/spreadsheets/d/1Yj_ptqi66GCucihVvJfMjLAmec39IyEx_6qawtMGysU/edit?usp=sharing"",""สบก!DM26"")"),480372.7)</f>
        <v>480372.7</v>
      </c>
      <c r="O333" s="168">
        <f ca="1">IF(L333&gt;0,N333*100/L333,0)</f>
        <v>80.323166959284336</v>
      </c>
      <c r="P333" s="168">
        <f ca="1">IF(M333&gt;0,N333*100/M333,0)</f>
        <v>71.425574306742988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IFERROR(__xludf.DUMMYFUNCTION("IMPORTRANGE(""https://docs.google.com/spreadsheets/d/1Yj_ptqi66GCucihVvJfMjLAmec39IyEx_6qawtMGysU/edit?usp=sharing"",""สบก!DH26"")"),194400)</f>
        <v>194400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IFERROR(__xludf.DUMMYFUNCTION("IMPORTRANGE(""https://docs.google.com/spreadsheets/d/1Yj_ptqi66GCucihVvJfMjLAmec39IyEx_6qawtMGysU/edit?usp=sharing"",""สบก!DI26"")"),403650)</f>
        <v>403650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IFERROR(__xludf.DUMMYFUNCTION("IMPORTRANGE(""https://docs.google.com/spreadsheets/d/1Yj_ptqi66GCucihVvJfMjLAmec39IyEx_6qawtMGysU/edit?usp=sharing"",""สบก!DJ26"")"),15000)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IFERROR(__xludf.DUMMYFUNCTION("IMPORTRANGE(""https://docs.google.com/spreadsheets/d/1Yj_ptqi66GCucihVvJfMjLAmec39IyEx_6qawtMGysU/edit?usp=sharing"",""สบก!DN26"")"),15000)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IFERROR(__xludf.DUMMYFUNCTION("IMPORTRANGE(""https://docs.google.com/spreadsheets/d/11923uPwbBZFjjGgGUA6NLw09EwE0CqkOc4q9oUmW1yo/edit?usp=sharing"",""พะเยา!I234"")"),0)</f>
        <v>0</v>
      </c>
      <c r="J339" s="187">
        <f ca="1">IFERROR(__xludf.DUMMYFUNCTION("IMPORTRANGE(""https://docs.google.com/spreadsheets/d/11923uPwbBZFjjGgGUA6NLw09EwE0CqkOc4q9oUmW1yo/edit?usp=sharing"",""พะเยา!J234"")"),225)</f>
        <v>225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IFERROR(__xludf.DUMMYFUNCTION("IMPORTRANGE(""https://docs.google.com/spreadsheets/d/11923uPwbBZFjjGgGUA6NLw09EwE0CqkOc4q9oUmW1yo/edit?usp=sharing"",""พะเยา!I235"")"),2000)</f>
        <v>2000</v>
      </c>
      <c r="J340" s="187">
        <f ca="1">IFERROR(__xludf.DUMMYFUNCTION("IMPORTRANGE(""https://docs.google.com/spreadsheets/d/11923uPwbBZFjjGgGUA6NLw09EwE0CqkOc4q9oUmW1yo/edit?usp=sharing"",""พะเยา!J235"")"),1312.63999999999)</f>
        <v>1312.6399999999901</v>
      </c>
      <c r="K340" s="342">
        <f t="shared" ca="1" si="103"/>
        <v>65.631999999999508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IFERROR(__xludf.DUMMYFUNCTION("IMPORTRANGE(""https://docs.google.com/spreadsheets/d/11923uPwbBZFjjGgGUA6NLw09EwE0CqkOc4q9oUmW1yo/edit?usp=sharing"",""พะเยา!I236"")"),580)</f>
        <v>580</v>
      </c>
      <c r="J341" s="187">
        <f ca="1">IFERROR(__xludf.DUMMYFUNCTION("IMPORTRANGE(""https://docs.google.com/spreadsheets/d/11923uPwbBZFjjGgGUA6NLw09EwE0CqkOc4q9oUmW1yo/edit?usp=sharing"",""พะเยา!J236"")"),384)</f>
        <v>384</v>
      </c>
      <c r="K341" s="342">
        <f t="shared" ca="1" si="103"/>
        <v>66.206896551724142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IFERROR(__xludf.DUMMYFUNCTION("IMPORTRANGE(""https://docs.google.com/spreadsheets/d/11923uPwbBZFjjGgGUA6NLw09EwE0CqkOc4q9oUmW1yo/edit?usp=sharing"",""พะเยา!I237"")"),0)</f>
        <v>0</v>
      </c>
      <c r="J342" s="187">
        <f ca="1">IFERROR(__xludf.DUMMYFUNCTION("IMPORTRANGE(""https://docs.google.com/spreadsheets/d/11923uPwbBZFjjGgGUA6NLw09EwE0CqkOc4q9oUmW1yo/edit?usp=sharing"",""พะเยา!J237"")"),2808.6)</f>
        <v>2808.6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IFERROR(__xludf.DUMMYFUNCTION("IMPORTRANGE(""https://docs.google.com/spreadsheets/d/11923uPwbBZFjjGgGUA6NLw09EwE0CqkOc4q9oUmW1yo/edit?usp=sharing"",""พะเยา!I238"")"),580)</f>
        <v>580</v>
      </c>
      <c r="J343" s="187">
        <f ca="1">IFERROR(__xludf.DUMMYFUNCTION("IMPORTRANGE(""https://docs.google.com/spreadsheets/d/11923uPwbBZFjjGgGUA6NLw09EwE0CqkOc4q9oUmW1yo/edit?usp=sharing"",""พะเยา!J238"")"),0)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IFERROR(__xludf.DUMMYFUNCTION("IMPORTRANGE(""https://docs.google.com/spreadsheets/d/11923uPwbBZFjjGgGUA6NLw09EwE0CqkOc4q9oUmW1yo/edit?usp=sharing"",""พะเยา!I239"")"),0)</f>
        <v>0</v>
      </c>
      <c r="J344" s="187">
        <f ca="1">IFERROR(__xludf.DUMMYFUNCTION("IMPORTRANGE(""https://docs.google.com/spreadsheets/d/11923uPwbBZFjjGgGUA6NLw09EwE0CqkOc4q9oUmW1yo/edit?usp=sharing"",""พะเยา!J239"")"),0)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IFERROR(__xludf.DUMMYFUNCTION("IMPORTRANGE(""https://docs.google.com/spreadsheets/d/11923uPwbBZFjjGgGUA6NLw09EwE0CqkOc4q9oUmW1yo/edit?usp=sharing"",""พะเยา!I240"")"),580)</f>
        <v>580</v>
      </c>
      <c r="J345" s="187">
        <f ca="1">IFERROR(__xludf.DUMMYFUNCTION("IMPORTRANGE(""https://docs.google.com/spreadsheets/d/11923uPwbBZFjjGgGUA6NLw09EwE0CqkOc4q9oUmW1yo/edit?usp=sharing"",""พะเยา!J240"")"),402)</f>
        <v>402</v>
      </c>
      <c r="K345" s="342">
        <f t="shared" ca="1" si="103"/>
        <v>69.310344827586206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IFERROR(__xludf.DUMMYFUNCTION("IMPORTRANGE(""https://docs.google.com/spreadsheets/d/11923uPwbBZFjjGgGUA6NLw09EwE0CqkOc4q9oUmW1yo/edit?usp=sharing"",""พะเยา!I241"")"),0)</f>
        <v>0</v>
      </c>
      <c r="J346" s="187">
        <f ca="1">IFERROR(__xludf.DUMMYFUNCTION("IMPORTRANGE(""https://docs.google.com/spreadsheets/d/11923uPwbBZFjjGgGUA6NLw09EwE0CqkOc4q9oUmW1yo/edit?usp=sharing"",""พะเยา!J241"")"),2846.21)</f>
        <v>2846.21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IFERROR(__xludf.DUMMYFUNCTION("IMPORTRANGE(""https://docs.google.com/spreadsheets/d/11923uPwbBZFjjGgGUA6NLw09EwE0CqkOc4q9oUmW1yo/edit?usp=sharing"",""พะเยา!L242"")"),2547436)</f>
        <v>2547436</v>
      </c>
      <c r="M347" s="357"/>
      <c r="N347" s="357">
        <f ca="1">IFERROR(__xludf.DUMMYFUNCTION("IMPORTRANGE(""https://docs.google.com/spreadsheets/d/11923uPwbBZFjjGgGUA6NLw09EwE0CqkOc4q9oUmW1yo/edit?usp=sharing"",""พะเยา!M242"")"),1036877.78999999)</f>
        <v>1036877.78999999</v>
      </c>
      <c r="O347" s="357">
        <f ca="1">+IF(L347&gt;0,N347*100/L347,0)</f>
        <v>40.702800384386101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IFERROR(__xludf.DUMMYFUNCTION("IMPORTRANGE(""https://docs.google.com/spreadsheets/d/11923uPwbBZFjjGgGUA6NLw09EwE0CqkOc4q9oUmW1yo/edit?usp=sharing"",""พะเยา!I244"")"),105)</f>
        <v>105</v>
      </c>
      <c r="J349" s="370">
        <f ca="1">IFERROR(__xludf.DUMMYFUNCTION("IMPORTRANGE(""https://docs.google.com/spreadsheets/d/11923uPwbBZFjjGgGUA6NLw09EwE0CqkOc4q9oUmW1yo/edit?usp=sharing"",""พะเยา!J244"")"),0)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IFERROR(__xludf.DUMMYFUNCTION("IMPORTRANGE(""https://docs.google.com/spreadsheets/d/11923uPwbBZFjjGgGUA6NLw09EwE0CqkOc4q9oUmW1yo/edit?usp=sharing"",""พะเยา!L244"")"),363980)</f>
        <v>363980</v>
      </c>
      <c r="M349" s="372"/>
      <c r="N349" s="372">
        <f ca="1">IFERROR(__xludf.DUMMYFUNCTION("IMPORTRANGE(""https://docs.google.com/spreadsheets/d/11923uPwbBZFjjGgGUA6NLw09EwE0CqkOc4q9oUmW1yo/edit?usp=sharing"",""พะเยา!M244"")"),138907.74)</f>
        <v>138907.74</v>
      </c>
      <c r="O349" s="372">
        <f ca="1">+IF(L349&gt;0,N349*100/L349,0)</f>
        <v>38.16356393208418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IFERROR(__xludf.DUMMYFUNCTION("IMPORTRANGE(""https://docs.google.com/spreadsheets/d/11923uPwbBZFjjGgGUA6NLw09EwE0CqkOc4q9oUmW1yo/edit?usp=sharing"",""พะเยา!I245"")"),60)</f>
        <v>60</v>
      </c>
      <c r="J350" s="370">
        <f ca="1">IFERROR(__xludf.DUMMYFUNCTION("IMPORTRANGE(""https://docs.google.com/spreadsheets/d/11923uPwbBZFjjGgGUA6NLw09EwE0CqkOc4q9oUmW1yo/edit?usp=sharing"",""พะเยา!J245"")"),60)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IFERROR(__xludf.DUMMYFUNCTION("IMPORTRANGE(""https://docs.google.com/spreadsheets/d/11923uPwbBZFjjGgGUA6NLw09EwE0CqkOc4q9oUmW1yo/edit?usp=sharing"",""พะเยา!L246"")"),0)</f>
        <v>0</v>
      </c>
      <c r="M351" s="164"/>
      <c r="N351" s="164">
        <f ca="1">IFERROR(__xludf.DUMMYFUNCTION("IMPORTRANGE(""https://docs.google.com/spreadsheets/d/11923uPwbBZFjjGgGUA6NLw09EwE0CqkOc4q9oUmW1yo/edit?usp=sharing"",""พะเยา!M246"")"),0)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IFERROR(__xludf.DUMMYFUNCTION("IMPORTRANGE(""https://docs.google.com/spreadsheets/d/11923uPwbBZFjjGgGUA6NLw09EwE0CqkOc4q9oUmW1yo/edit?usp=sharing"",""พะเยา!L247"")"),363980)</f>
        <v>363980</v>
      </c>
      <c r="M352" s="165"/>
      <c r="N352" s="164">
        <f ca="1">IFERROR(__xludf.DUMMYFUNCTION("IMPORTRANGE(""https://docs.google.com/spreadsheets/d/11923uPwbBZFjjGgGUA6NLw09EwE0CqkOc4q9oUmW1yo/edit?usp=sharing"",""พะเยา!M247"")"),138907.74)</f>
        <v>138907.74</v>
      </c>
      <c r="O352" s="165">
        <f t="shared" ca="1" si="105"/>
        <v>38.16356393208418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IFERROR(__xludf.DUMMYFUNCTION("IMPORTRANGE(""https://docs.google.com/spreadsheets/d/11923uPwbBZFjjGgGUA6NLw09EwE0CqkOc4q9oUmW1yo/edit?usp=sharing"",""พะเยา!L248"")"),0)</f>
        <v>0</v>
      </c>
      <c r="M353" s="168"/>
      <c r="N353" s="168">
        <f ca="1">IFERROR(__xludf.DUMMYFUNCTION("IMPORTRANGE(""https://docs.google.com/spreadsheets/d/11923uPwbBZFjjGgGUA6NLw09EwE0CqkOc4q9oUmW1yo/edit?usp=sharing"",""พะเยา!M248"")"),0)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IFERROR(__xludf.DUMMYFUNCTION("IMPORTRANGE(""https://docs.google.com/spreadsheets/d/11923uPwbBZFjjGgGUA6NLw09EwE0CqkOc4q9oUmW1yo/edit?usp=sharing"",""พะเยา!L249"")"),363980)</f>
        <v>363980</v>
      </c>
      <c r="M354" s="168"/>
      <c r="N354" s="167">
        <f ca="1">IFERROR(__xludf.DUMMYFUNCTION("IMPORTRANGE(""https://docs.google.com/spreadsheets/d/11923uPwbBZFjjGgGUA6NLw09EwE0CqkOc4q9oUmW1yo/edit?usp=sharing"",""พะเยา!M249"")"),138907.74)</f>
        <v>138907.74</v>
      </c>
      <c r="O354" s="168">
        <f t="shared" ca="1" si="105"/>
        <v>38.16356393208418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IFERROR(__xludf.DUMMYFUNCTION("IMPORTRANGE(""https://docs.google.com/spreadsheets/d/11923uPwbBZFjjGgGUA6NLw09EwE0CqkOc4q9oUmW1yo/edit?usp=sharing"",""พะเยา!M250"")"),37200)</f>
        <v>37200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IFERROR(__xludf.DUMMYFUNCTION("IMPORTRANGE(""https://docs.google.com/spreadsheets/d/11923uPwbBZFjjGgGUA6NLw09EwE0CqkOc4q9oUmW1yo/edit?usp=sharing"",""พะเยา!M251"")"),0)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IFERROR(__xludf.DUMMYFUNCTION("IMPORTRANGE(""https://docs.google.com/spreadsheets/d/11923uPwbBZFjjGgGUA6NLw09EwE0CqkOc4q9oUmW1yo/edit?usp=sharing"",""พะเยา!M252"")"),79398.74)</f>
        <v>79398.740000000005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IFERROR(__xludf.DUMMYFUNCTION("IMPORTRANGE(""https://docs.google.com/spreadsheets/d/11923uPwbBZFjjGgGUA6NLw09EwE0CqkOc4q9oUmW1yo/edit?usp=sharing"",""พะเยา!M253"")"),22309)</f>
        <v>22309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IFERROR(__xludf.DUMMYFUNCTION("IMPORTRANGE(""https://docs.google.com/spreadsheets/d/11923uPwbBZFjjGgGUA6NLw09EwE0CqkOc4q9oUmW1yo/edit?usp=sharing"",""พะเยา!J255"")"),0)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IFERROR(__xludf.DUMMYFUNCTION("IMPORTRANGE(""https://docs.google.com/spreadsheets/d/11923uPwbBZFjjGgGUA6NLw09EwE0CqkOc4q9oUmW1yo/edit?usp=sharing"",""พะเยา!J256"")"),1)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IFERROR(__xludf.DUMMYFUNCTION("IMPORTRANGE(""https://docs.google.com/spreadsheets/d/11923uPwbBZFjjGgGUA6NLw09EwE0CqkOc4q9oUmW1yo/edit?usp=sharing"",""พะเยา!J257"")"),1)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IFERROR(__xludf.DUMMYFUNCTION("IMPORTRANGE(""https://docs.google.com/spreadsheets/d/11923uPwbBZFjjGgGUA6NLw09EwE0CqkOc4q9oUmW1yo/edit?usp=sharing"",""พะเยา!J258"")"),1)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IFERROR(__xludf.DUMMYFUNCTION("IMPORTRANGE(""https://docs.google.com/spreadsheets/d/11923uPwbBZFjjGgGUA6NLw09EwE0CqkOc4q9oUmW1yo/edit?usp=sharing"",""พะเยา!J166"")"),0)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IFERROR(__xludf.DUMMYFUNCTION("IMPORTRANGE(""https://docs.google.com/spreadsheets/d/11923uPwbBZFjjGgGUA6NLw09EwE0CqkOc4q9oUmW1yo/edit?usp=sharing"",""พะเยา!J166"")"),0)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IFERROR(__xludf.DUMMYFUNCTION("IMPORTRANGE(""https://docs.google.com/spreadsheets/d/11923uPwbBZFjjGgGUA6NLw09EwE0CqkOc4q9oUmW1yo/edit?usp=sharing"",""พะเยา!J166"")"),0)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IFERROR(__xludf.DUMMYFUNCTION("IMPORTRANGE(""https://docs.google.com/spreadsheets/d/11923uPwbBZFjjGgGUA6NLw09EwE0CqkOc4q9oUmW1yo/edit?usp=sharing"",""พะเยา!J166"")"),0)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IFERROR(__xludf.DUMMYFUNCTION("IMPORTRANGE(""https://docs.google.com/spreadsheets/d/11923uPwbBZFjjGgGUA6NLw09EwE0CqkOc4q9oUmW1yo/edit?usp=sharing"",""พะเยา!I263"")"),60)</f>
        <v>60</v>
      </c>
      <c r="J368" s="187">
        <f ca="1">IFERROR(__xludf.DUMMYFUNCTION("IMPORTRANGE(""https://docs.google.com/spreadsheets/d/11923uPwbBZFjjGgGUA6NLw09EwE0CqkOc4q9oUmW1yo/edit?usp=sharing"",""พะเยา!J263"")"),60)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IFERROR(__xludf.DUMMYFUNCTION("IMPORTRANGE(""https://docs.google.com/spreadsheets/d/11923uPwbBZFjjGgGUA6NLw09EwE0CqkOc4q9oUmW1yo/edit?usp=sharing"",""พะเยา!I164"")"),0)</f>
        <v>0</v>
      </c>
      <c r="J369" s="203">
        <f ca="1">IFERROR(__xludf.DUMMYFUNCTION("IMPORTRANGE(""https://docs.google.com/spreadsheets/d/11923uPwbBZFjjGgGUA6NLw09EwE0CqkOc4q9oUmW1yo/edit?usp=sharing"",""พะเยา!J164"")"),0)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IFERROR(__xludf.DUMMYFUNCTION("IMPORTRANGE(""https://docs.google.com/spreadsheets/d/11923uPwbBZFjjGgGUA6NLw09EwE0CqkOc4q9oUmW1yo/edit?usp=sharing"",""พะเยา!I265"")"),60)</f>
        <v>60</v>
      </c>
      <c r="J370" s="203">
        <f ca="1">IFERROR(__xludf.DUMMYFUNCTION("IMPORTRANGE(""https://docs.google.com/spreadsheets/d/11923uPwbBZFjjGgGUA6NLw09EwE0CqkOc4q9oUmW1yo/edit?usp=sharing"",""พะเยา!J265"")"),60)</f>
        <v>60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IFERROR(__xludf.DUMMYFUNCTION("IMPORTRANGE(""https://docs.google.com/spreadsheets/d/11923uPwbBZFjjGgGUA6NLw09EwE0CqkOc4q9oUmW1yo/edit?usp=sharing"",""พะเยา!I164"")"),0)</f>
        <v>0</v>
      </c>
      <c r="J371" s="188">
        <f ca="1">IFERROR(__xludf.DUMMYFUNCTION("IMPORTRANGE(""https://docs.google.com/spreadsheets/d/11923uPwbBZFjjGgGUA6NLw09EwE0CqkOc4q9oUmW1yo/edit?usp=sharing"",""พะเยา!J164"")"),0)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IFERROR(__xludf.DUMMYFUNCTION("IMPORTRANGE(""https://docs.google.com/spreadsheets/d/11923uPwbBZFjjGgGUA6NLw09EwE0CqkOc4q9oUmW1yo/edit?usp=sharing"",""พะเยา!I267"")"),60)</f>
        <v>60</v>
      </c>
      <c r="J372" s="188">
        <f ca="1">IFERROR(__xludf.DUMMYFUNCTION("IMPORTRANGE(""https://docs.google.com/spreadsheets/d/11923uPwbBZFjjGgGUA6NLw09EwE0CqkOc4q9oUmW1yo/edit?usp=sharing"",""พะเยา!J267"")"),60)</f>
        <v>60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IFERROR(__xludf.DUMMYFUNCTION("IMPORTRANGE(""https://docs.google.com/spreadsheets/d/11923uPwbBZFjjGgGUA6NLw09EwE0CqkOc4q9oUmW1yo/edit?usp=sharing"",""พะเยา!I164"")"),0)</f>
        <v>0</v>
      </c>
      <c r="J373" s="203">
        <f ca="1">IFERROR(__xludf.DUMMYFUNCTION("IMPORTRANGE(""https://docs.google.com/spreadsheets/d/11923uPwbBZFjjGgGUA6NLw09EwE0CqkOc4q9oUmW1yo/edit?usp=sharing"",""พะเยา!J164"")"),0)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IFERROR(__xludf.DUMMYFUNCTION("IMPORTRANGE(""https://docs.google.com/spreadsheets/d/11923uPwbBZFjjGgGUA6NLw09EwE0CqkOc4q9oUmW1yo/edit?usp=sharing"",""พะเยา!I164"")"),0)</f>
        <v>0</v>
      </c>
      <c r="J374" s="187">
        <f ca="1">IFERROR(__xludf.DUMMYFUNCTION("IMPORTRANGE(""https://docs.google.com/spreadsheets/d/11923uPwbBZFjjGgGUA6NLw09EwE0CqkOc4q9oUmW1yo/edit?usp=sharing"",""พะเยา!J164"")"),0)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IFERROR(__xludf.DUMMYFUNCTION("IMPORTRANGE(""https://docs.google.com/spreadsheets/d/11923uPwbBZFjjGgGUA6NLw09EwE0CqkOc4q9oUmW1yo/edit?usp=sharing"",""พะเยา!I270"")"),105)</f>
        <v>105</v>
      </c>
      <c r="J375" s="187">
        <f ca="1">IFERROR(__xludf.DUMMYFUNCTION("IMPORTRANGE(""https://docs.google.com/spreadsheets/d/11923uPwbBZFjjGgGUA6NLw09EwE0CqkOc4q9oUmW1yo/edit?usp=sharing"",""พะเยา!J270"")"),0)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IFERROR(__xludf.DUMMYFUNCTION("IMPORTRANGE(""https://docs.google.com/spreadsheets/d/11923uPwbBZFjjGgGUA6NLw09EwE0CqkOc4q9oUmW1yo/edit?usp=sharing"",""พะเยา!I271"")"),30)</f>
        <v>30</v>
      </c>
      <c r="J376" s="188">
        <f ca="1">IFERROR(__xludf.DUMMYFUNCTION("IMPORTRANGE(""https://docs.google.com/spreadsheets/d/11923uPwbBZFjjGgGUA6NLw09EwE0CqkOc4q9oUmW1yo/edit?usp=sharing"",""พะเยา!J271"")"),0)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IFERROR(__xludf.DUMMYFUNCTION("IMPORTRANGE(""https://docs.google.com/spreadsheets/d/11923uPwbBZFjjGgGUA6NLw09EwE0CqkOc4q9oUmW1yo/edit?usp=sharing"",""พะเยา!I272"")"),75)</f>
        <v>75</v>
      </c>
      <c r="J377" s="203">
        <f ca="1">IFERROR(__xludf.DUMMYFUNCTION("IMPORTRANGE(""https://docs.google.com/spreadsheets/d/11923uPwbBZFjjGgGUA6NLw09EwE0CqkOc4q9oUmW1yo/edit?usp=sharing"",""พะเยา!J272"")"),0)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IFERROR(__xludf.DUMMYFUNCTION("IMPORTRANGE(""https://docs.google.com/spreadsheets/d/11923uPwbBZFjjGgGUA6NLw09EwE0CqkOc4q9oUmW1yo/edit?usp=sharing"",""พะเยา!J273"")"),0)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IFERROR(__xludf.DUMMYFUNCTION("IMPORTRANGE(""https://docs.google.com/spreadsheets/d/11923uPwbBZFjjGgGUA6NLw09EwE0CqkOc4q9oUmW1yo/edit?usp=sharing"",""พะเยา!J274"")"),0)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IFERROR(__xludf.DUMMYFUNCTION("IMPORTRANGE(""https://docs.google.com/spreadsheets/d/11923uPwbBZFjjGgGUA6NLw09EwE0CqkOc4q9oUmW1yo/edit?usp=sharing"",""พะเยา!I275"")"),1000)</f>
        <v>1000</v>
      </c>
      <c r="J380" s="370">
        <f ca="1">IFERROR(__xludf.DUMMYFUNCTION("IMPORTRANGE(""https://docs.google.com/spreadsheets/d/11923uPwbBZFjjGgGUA6NLw09EwE0CqkOc4q9oUmW1yo/edit?usp=sharing"",""พะเยา!J275"")"),0)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IFERROR(__xludf.DUMMYFUNCTION("IMPORTRANGE(""https://docs.google.com/spreadsheets/d/11923uPwbBZFjjGgGUA6NLw09EwE0CqkOc4q9oUmW1yo/edit?usp=sharing"",""พะเยา!L275"")"),1028520)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IFERROR(__xludf.DUMMYFUNCTION("IMPORTRANGE(""https://docs.google.com/spreadsheets/d/11923uPwbBZFjjGgGUA6NLw09EwE0CqkOc4q9oUmW1yo/edit?usp=sharing"",""พะเยา!M275"")"),275010.2)</f>
        <v>275010.2</v>
      </c>
      <c r="O380" s="372">
        <f ca="1">+IF(L380&gt;0,N380*100/L380,0)</f>
        <v>26.738439699762765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IFERROR(__xludf.DUMMYFUNCTION("IMPORTRANGE(""https://docs.google.com/spreadsheets/d/11923uPwbBZFjjGgGUA6NLw09EwE0CqkOc4q9oUmW1yo/edit?usp=sharing"",""พะเยา!I276"")"),100)</f>
        <v>100</v>
      </c>
      <c r="J381" s="370">
        <f ca="1">IFERROR(__xludf.DUMMYFUNCTION("IMPORTRANGE(""https://docs.google.com/spreadsheets/d/11923uPwbBZFjjGgGUA6NLw09EwE0CqkOc4q9oUmW1yo/edit?usp=sharing"",""พะเยา!J276"")"),100)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IFERROR(__xludf.DUMMYFUNCTION("IMPORTRANGE(""https://docs.google.com/spreadsheets/d/11923uPwbBZFjjGgGUA6NLw09EwE0CqkOc4q9oUmW1yo/edit?usp=sharing"",""พะเยา!L277"")"),0)</f>
        <v>0</v>
      </c>
      <c r="M382" s="164"/>
      <c r="N382" s="164">
        <f ca="1">IFERROR(__xludf.DUMMYFUNCTION("IMPORTRANGE(""https://docs.google.com/spreadsheets/d/11923uPwbBZFjjGgGUA6NLw09EwE0CqkOc4q9oUmW1yo/edit?usp=sharing"",""พะเยา!M277"")"),0)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IFERROR(__xludf.DUMMYFUNCTION("IMPORTRANGE(""https://docs.google.com/spreadsheets/d/11923uPwbBZFjjGgGUA6NLw09EwE0CqkOc4q9oUmW1yo/edit?usp=sharing"",""พะเยา!L278"")"),1028520)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IFERROR(__xludf.DUMMYFUNCTION("IMPORTRANGE(""https://docs.google.com/spreadsheets/d/11923uPwbBZFjjGgGUA6NLw09EwE0CqkOc4q9oUmW1yo/edit?usp=sharing"",""พะเยา!M278"")"),275010.2)</f>
        <v>275010.2</v>
      </c>
      <c r="O383" s="165">
        <f t="shared" ca="1" si="109"/>
        <v>26.738439699762765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IFERROR(__xludf.DUMMYFUNCTION("IMPORTRANGE(""https://docs.google.com/spreadsheets/d/11923uPwbBZFjjGgGUA6NLw09EwE0CqkOc4q9oUmW1yo/edit?usp=sharing"",""พะเยา!L279"")"),0)</f>
        <v>0</v>
      </c>
      <c r="M384" s="168"/>
      <c r="N384" s="168">
        <f ca="1">IFERROR(__xludf.DUMMYFUNCTION("IMPORTRANGE(""https://docs.google.com/spreadsheets/d/11923uPwbBZFjjGgGUA6NLw09EwE0CqkOc4q9oUmW1yo/edit?usp=sharing"",""พะเยา!M279"")"),0)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IFERROR(__xludf.DUMMYFUNCTION("IMPORTRANGE(""https://docs.google.com/spreadsheets/d/11923uPwbBZFjjGgGUA6NLw09EwE0CqkOc4q9oUmW1yo/edit?usp=sharing"",""พะเยา!L280"")"),1028520)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IFERROR(__xludf.DUMMYFUNCTION("IMPORTRANGE(""https://docs.google.com/spreadsheets/d/11923uPwbBZFjjGgGUA6NLw09EwE0CqkOc4q9oUmW1yo/edit?usp=sharing"",""พะเยา!M280"")"),275010.2)</f>
        <v>275010.2</v>
      </c>
      <c r="O385" s="168">
        <f t="shared" ca="1" si="109"/>
        <v>26.738439699762765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IFERROR(__xludf.DUMMYFUNCTION("IMPORTRANGE(""https://docs.google.com/spreadsheets/d/11923uPwbBZFjjGgGUA6NLw09EwE0CqkOc4q9oUmW1yo/edit?usp=sharing"",""พะเยา!M281"")"),168870.2)</f>
        <v>168870.2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IFERROR(__xludf.DUMMYFUNCTION("IMPORTRANGE(""https://docs.google.com/spreadsheets/d/11923uPwbBZFjjGgGUA6NLw09EwE0CqkOc4q9oUmW1yo/edit?usp=sharing"",""พะเยา!M282"")"),0)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IFERROR(__xludf.DUMMYFUNCTION("IMPORTRANGE(""https://docs.google.com/spreadsheets/d/11923uPwbBZFjjGgGUA6NLw09EwE0CqkOc4q9oUmW1yo/edit?usp=sharing"",""พะเยา!M283"")"),74064)</f>
        <v>74064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IFERROR(__xludf.DUMMYFUNCTION("IMPORTRANGE(""https://docs.google.com/spreadsheets/d/11923uPwbBZFjjGgGUA6NLw09EwE0CqkOc4q9oUmW1yo/edit?usp=sharing"",""พะเยา!M284"")"),32076)</f>
        <v>32076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IFERROR(__xludf.DUMMYFUNCTION("IMPORTRANGE(""https://docs.google.com/spreadsheets/d/11923uPwbBZFjjGgGUA6NLw09EwE0CqkOc4q9oUmW1yo/edit?usp=sharing"",""พะเยา!J286"")"),0)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IFERROR(__xludf.DUMMYFUNCTION("IMPORTRANGE(""https://docs.google.com/spreadsheets/d/11923uPwbBZFjjGgGUA6NLw09EwE0CqkOc4q9oUmW1yo/edit?usp=sharing"",""พะเยา!J287"")"),1)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IFERROR(__xludf.DUMMYFUNCTION("IMPORTRANGE(""https://docs.google.com/spreadsheets/d/11923uPwbBZFjjGgGUA6NLw09EwE0CqkOc4q9oUmW1yo/edit?usp=sharing"",""พะเยา!J288"")"),1)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IFERROR(__xludf.DUMMYFUNCTION("IMPORTRANGE(""https://docs.google.com/spreadsheets/d/11923uPwbBZFjjGgGUA6NLw09EwE0CqkOc4q9oUmW1yo/edit?usp=sharing"",""พะเยา!J289"")"),1)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IFERROR(__xludf.DUMMYFUNCTION("IMPORTRANGE(""https://docs.google.com/spreadsheets/d/11923uPwbBZFjjGgGUA6NLw09EwE0CqkOc4q9oUmW1yo/edit?usp=sharing"",""พะเยา!I291"")"),100)</f>
        <v>100</v>
      </c>
      <c r="J396" s="197">
        <f ca="1">IFERROR(__xludf.DUMMYFUNCTION("IMPORTRANGE(""https://docs.google.com/spreadsheets/d/11923uPwbBZFjjGgGUA6NLw09EwE0CqkOc4q9oUmW1yo/edit?usp=sharing"",""พะเยา!J291"")"),100)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IFERROR(__xludf.DUMMYFUNCTION("IMPORTRANGE(""https://docs.google.com/spreadsheets/d/11923uPwbBZFjjGgGUA6NLw09EwE0CqkOc4q9oUmW1yo/edit?usp=sharing"",""พะเยา!I292"")"),1000)</f>
        <v>1000</v>
      </c>
      <c r="J397" s="197">
        <f ca="1">IFERROR(__xludf.DUMMYFUNCTION("IMPORTRANGE(""https://docs.google.com/spreadsheets/d/11923uPwbBZFjjGgGUA6NLw09EwE0CqkOc4q9oUmW1yo/edit?usp=sharing"",""พะเยา!J292"")"),0)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IFERROR(__xludf.DUMMYFUNCTION("IMPORTRANGE(""https://docs.google.com/spreadsheets/d/11923uPwbBZFjjGgGUA6NLw09EwE0CqkOc4q9oUmW1yo/edit?usp=sharing"",""พะเยา!I293"")"),100)</f>
        <v>100</v>
      </c>
      <c r="J398" s="197">
        <f ca="1">IFERROR(__xludf.DUMMYFUNCTION("IMPORTRANGE(""https://docs.google.com/spreadsheets/d/11923uPwbBZFjjGgGUA6NLw09EwE0CqkOc4q9oUmW1yo/edit?usp=sharing"",""พะเยา!J293"")"),0)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IFERROR(__xludf.DUMMYFUNCTION("IMPORTRANGE(""https://docs.google.com/spreadsheets/d/11923uPwbBZFjjGgGUA6NLw09EwE0CqkOc4q9oUmW1yo/edit?usp=sharing"",""พะเยา!J294"")"),0)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IFERROR(__xludf.DUMMYFUNCTION("IMPORTRANGE(""https://docs.google.com/spreadsheets/d/11923uPwbBZFjjGgGUA6NLw09EwE0CqkOc4q9oUmW1yo/edit?usp=sharing"",""พะเยา!J295"")"),0)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IFERROR(__xludf.DUMMYFUNCTION("IMPORTRANGE(""https://docs.google.com/spreadsheets/d/11923uPwbBZFjjGgGUA6NLw09EwE0CqkOc4q9oUmW1yo/edit?usp=sharing"",""พะเยา!I296"")"),261)</f>
        <v>261</v>
      </c>
      <c r="J401" s="370">
        <f ca="1">IFERROR(__xludf.DUMMYFUNCTION("IMPORTRANGE(""https://docs.google.com/spreadsheets/d/11923uPwbBZFjjGgGUA6NLw09EwE0CqkOc4q9oUmW1yo/edit?usp=sharing"",""พะเยา!J296"")"),261)</f>
        <v>261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IFERROR(__xludf.DUMMYFUNCTION("IMPORTRANGE(""https://docs.google.com/spreadsheets/d/11923uPwbBZFjjGgGUA6NLw09EwE0CqkOc4q9oUmW1yo/edit?usp=sharing"",""พะเยา!L296"")"),271920)</f>
        <v>271920</v>
      </c>
      <c r="M401" s="372"/>
      <c r="N401" s="372">
        <f ca="1">IFERROR(__xludf.DUMMYFUNCTION("IMPORTRANGE(""https://docs.google.com/spreadsheets/d/11923uPwbBZFjjGgGUA6NLw09EwE0CqkOc4q9oUmW1yo/edit?usp=sharing"",""พะเยา!M296"")"),178359)</f>
        <v>178359</v>
      </c>
      <c r="O401" s="372">
        <f ca="1">+IF(L401&gt;0,N401*100/L401,0)</f>
        <v>65.592453662842019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IFERROR(__xludf.DUMMYFUNCTION("IMPORTRANGE(""https://docs.google.com/spreadsheets/d/11923uPwbBZFjjGgGUA6NLw09EwE0CqkOc4q9oUmW1yo/edit?usp=sharing"",""พะเยา!I297"")"),87)</f>
        <v>87</v>
      </c>
      <c r="J402" s="370">
        <f ca="1">IFERROR(__xludf.DUMMYFUNCTION("IMPORTRANGE(""https://docs.google.com/spreadsheets/d/11923uPwbBZFjjGgGUA6NLw09EwE0CqkOc4q9oUmW1yo/edit?usp=sharing"",""พะเยา!J297"")"),87)</f>
        <v>87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IFERROR(__xludf.DUMMYFUNCTION("IMPORTRANGE(""https://docs.google.com/spreadsheets/d/11923uPwbBZFjjGgGUA6NLw09EwE0CqkOc4q9oUmW1yo/edit?usp=sharing"",""พะเยา!L298"")"),0)</f>
        <v>0</v>
      </c>
      <c r="M403" s="164"/>
      <c r="N403" s="168">
        <f ca="1">IFERROR(__xludf.DUMMYFUNCTION("IMPORTRANGE(""https://docs.google.com/spreadsheets/d/11923uPwbBZFjjGgGUA6NLw09EwE0CqkOc4q9oUmW1yo/edit?usp=sharing"",""พะเยา!M298"")"),0)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IFERROR(__xludf.DUMMYFUNCTION("IMPORTRANGE(""https://docs.google.com/spreadsheets/d/11923uPwbBZFjjGgGUA6NLw09EwE0CqkOc4q9oUmW1yo/edit?usp=sharing"",""พะเยา!L299"")"),271920)</f>
        <v>271920</v>
      </c>
      <c r="M404" s="165"/>
      <c r="N404" s="168">
        <f ca="1">IFERROR(__xludf.DUMMYFUNCTION("IMPORTRANGE(""https://docs.google.com/spreadsheets/d/11923uPwbBZFjjGgGUA6NLw09EwE0CqkOc4q9oUmW1yo/edit?usp=sharing"",""พะเยา!M299"")"),178359)</f>
        <v>178359</v>
      </c>
      <c r="O404" s="168">
        <f t="shared" ca="1" si="112"/>
        <v>65.592453662842019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IFERROR(__xludf.DUMMYFUNCTION("IMPORTRANGE(""https://docs.google.com/spreadsheets/d/11923uPwbBZFjjGgGUA6NLw09EwE0CqkOc4q9oUmW1yo/edit?usp=sharing"",""พะเยา!L300"")"),0)</f>
        <v>0</v>
      </c>
      <c r="M405" s="168"/>
      <c r="N405" s="168">
        <f ca="1">IFERROR(__xludf.DUMMYFUNCTION("IMPORTRANGE(""https://docs.google.com/spreadsheets/d/11923uPwbBZFjjGgGUA6NLw09EwE0CqkOc4q9oUmW1yo/edit?usp=sharing"",""พะเยา!M300"")"),0)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IFERROR(__xludf.DUMMYFUNCTION("IMPORTRANGE(""https://docs.google.com/spreadsheets/d/11923uPwbBZFjjGgGUA6NLw09EwE0CqkOc4q9oUmW1yo/edit?usp=sharing"",""พะเยา!L301"")"),271920)</f>
        <v>271920</v>
      </c>
      <c r="M406" s="168"/>
      <c r="N406" s="168">
        <f ca="1">IFERROR(__xludf.DUMMYFUNCTION("IMPORTRANGE(""https://docs.google.com/spreadsheets/d/11923uPwbBZFjjGgGUA6NLw09EwE0CqkOc4q9oUmW1yo/edit?usp=sharing"",""พะเยา!M301"")"),178359)</f>
        <v>178359</v>
      </c>
      <c r="O406" s="168">
        <f t="shared" ca="1" si="112"/>
        <v>65.592453662842019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IFERROR(__xludf.DUMMYFUNCTION("IMPORTRANGE(""https://docs.google.com/spreadsheets/d/11923uPwbBZFjjGgGUA6NLw09EwE0CqkOc4q9oUmW1yo/edit?usp=sharing"",""พะเยา!M302"")"),158779)</f>
        <v>158779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IFERROR(__xludf.DUMMYFUNCTION("IMPORTRANGE(""https://docs.google.com/spreadsheets/d/11923uPwbBZFjjGgGUA6NLw09EwE0CqkOc4q9oUmW1yo/edit?usp=sharing"",""พะเยา!M303"")"),0)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IFERROR(__xludf.DUMMYFUNCTION("IMPORTRANGE(""https://docs.google.com/spreadsheets/d/11923uPwbBZFjjGgGUA6NLw09EwE0CqkOc4q9oUmW1yo/edit?usp=sharing"",""พะเยา!M304"")"),0)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IFERROR(__xludf.DUMMYFUNCTION("IMPORTRANGE(""https://docs.google.com/spreadsheets/d/11923uPwbBZFjjGgGUA6NLw09EwE0CqkOc4q9oUmW1yo/edit?usp=sharing"",""พะเยา!M305"")"),19580)</f>
        <v>19580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IFERROR(__xludf.DUMMYFUNCTION("IMPORTRANGE(""https://docs.google.com/spreadsheets/d/11923uPwbBZFjjGgGUA6NLw09EwE0CqkOc4q9oUmW1yo/edit?usp=sharing"",""พะเยา!J307"")"),0)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IFERROR(__xludf.DUMMYFUNCTION("IMPORTRANGE(""https://docs.google.com/spreadsheets/d/11923uPwbBZFjjGgGUA6NLw09EwE0CqkOc4q9oUmW1yo/edit?usp=sharing"",""พะเยา!J308"")"),1)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IFERROR(__xludf.DUMMYFUNCTION("IMPORTRANGE(""https://docs.google.com/spreadsheets/d/11923uPwbBZFjjGgGUA6NLw09EwE0CqkOc4q9oUmW1yo/edit?usp=sharing"",""พะเยา!J309"")"),1)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IFERROR(__xludf.DUMMYFUNCTION("IMPORTRANGE(""https://docs.google.com/spreadsheets/d/11923uPwbBZFjjGgGUA6NLw09EwE0CqkOc4q9oUmW1yo/edit?usp=sharing"",""พะเยา!J310"")"),1)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IFERROR(__xludf.DUMMYFUNCTION("IMPORTRANGE(""https://docs.google.com/spreadsheets/d/11923uPwbBZFjjGgGUA6NLw09EwE0CqkOc4q9oUmW1yo/edit?usp=sharing"",""พะเยา!I311"")"),87)</f>
        <v>87</v>
      </c>
      <c r="J416" s="200">
        <f ca="1">IFERROR(__xludf.DUMMYFUNCTION("IMPORTRANGE(""https://docs.google.com/spreadsheets/d/11923uPwbBZFjjGgGUA6NLw09EwE0CqkOc4q9oUmW1yo/edit?usp=sharing"",""พะเยา!J311"")"),87)</f>
        <v>87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IFERROR(__xludf.DUMMYFUNCTION("IMPORTRANGE(""https://docs.google.com/spreadsheets/d/11923uPwbBZFjjGgGUA6NLw09EwE0CqkOc4q9oUmW1yo/edit?usp=sharing"",""พะเยา!I312"")"),20)</f>
        <v>20</v>
      </c>
      <c r="J417" s="391">
        <f ca="1">IFERROR(__xludf.DUMMYFUNCTION("IMPORTRANGE(""https://docs.google.com/spreadsheets/d/11923uPwbBZFjjGgGUA6NLw09EwE0CqkOc4q9oUmW1yo/edit?usp=sharing"",""พะเยา!J312"")"),20)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IFERROR(__xludf.DUMMYFUNCTION("IMPORTRANGE(""https://docs.google.com/spreadsheets/d/11923uPwbBZFjjGgGUA6NLw09EwE0CqkOc4q9oUmW1yo/edit?usp=sharing"",""พะเยา!I313"")"),60)</f>
        <v>60</v>
      </c>
      <c r="J418" s="392">
        <f ca="1">IFERROR(__xludf.DUMMYFUNCTION("IMPORTRANGE(""https://docs.google.com/spreadsheets/d/11923uPwbBZFjjGgGUA6NLw09EwE0CqkOc4q9oUmW1yo/edit?usp=sharing"",""พะเยา!J313"")"),60)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IFERROR(__xludf.DUMMYFUNCTION("IMPORTRANGE(""https://docs.google.com/spreadsheets/d/11923uPwbBZFjjGgGUA6NLw09EwE0CqkOc4q9oUmW1yo/edit?usp=sharing"",""พะเยา!I314"")"),20)</f>
        <v>20</v>
      </c>
      <c r="J419" s="393">
        <f ca="1">IFERROR(__xludf.DUMMYFUNCTION("IMPORTRANGE(""https://docs.google.com/spreadsheets/d/11923uPwbBZFjjGgGUA6NLw09EwE0CqkOc4q9oUmW1yo/edit?usp=sharing"",""พะเยา!J314"")"),20)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IFERROR(__xludf.DUMMYFUNCTION("IMPORTRANGE(""https://docs.google.com/spreadsheets/d/11923uPwbBZFjjGgGUA6NLw09EwE0CqkOc4q9oUmW1yo/edit?usp=sharing"",""พะเยา!I315"")"),20)</f>
        <v>20</v>
      </c>
      <c r="J420" s="393">
        <f ca="1">IFERROR(__xludf.DUMMYFUNCTION("IMPORTRANGE(""https://docs.google.com/spreadsheets/d/11923uPwbBZFjjGgGUA6NLw09EwE0CqkOc4q9oUmW1yo/edit?usp=sharing"",""พะเยา!J315"")"),20)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IFERROR(__xludf.DUMMYFUNCTION("IMPORTRANGE(""https://docs.google.com/spreadsheets/d/11923uPwbBZFjjGgGUA6NLw09EwE0CqkOc4q9oUmW1yo/edit?usp=sharing"",""พะเยา!I316"")"),50)</f>
        <v>50</v>
      </c>
      <c r="J421" s="391">
        <f ca="1">IFERROR(__xludf.DUMMYFUNCTION("IMPORTRANGE(""https://docs.google.com/spreadsheets/d/11923uPwbBZFjjGgGUA6NLw09EwE0CqkOc4q9oUmW1yo/edit?usp=sharing"",""พะเยา!J316"")"),50)</f>
        <v>50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IFERROR(__xludf.DUMMYFUNCTION("IMPORTRANGE(""https://docs.google.com/spreadsheets/d/11923uPwbBZFjjGgGUA6NLw09EwE0CqkOc4q9oUmW1yo/edit?usp=sharing"",""พะเยา!I317"")"),150)</f>
        <v>150</v>
      </c>
      <c r="J422" s="392">
        <f ca="1">IFERROR(__xludf.DUMMYFUNCTION("IMPORTRANGE(""https://docs.google.com/spreadsheets/d/11923uPwbBZFjjGgGUA6NLw09EwE0CqkOc4q9oUmW1yo/edit?usp=sharing"",""พะเยา!J317"")"),150)</f>
        <v>150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IFERROR(__xludf.DUMMYFUNCTION("IMPORTRANGE(""https://docs.google.com/spreadsheets/d/11923uPwbBZFjjGgGUA6NLw09EwE0CqkOc4q9oUmW1yo/edit?usp=sharing"",""พะเยา!I318"")"),50)</f>
        <v>50</v>
      </c>
      <c r="J423" s="393">
        <f ca="1">IFERROR(__xludf.DUMMYFUNCTION("IMPORTRANGE(""https://docs.google.com/spreadsheets/d/11923uPwbBZFjjGgGUA6NLw09EwE0CqkOc4q9oUmW1yo/edit?usp=sharing"",""พะเยา!J318"")"),50)</f>
        <v>50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IFERROR(__xludf.DUMMYFUNCTION("IMPORTRANGE(""https://docs.google.com/spreadsheets/d/11923uPwbBZFjjGgGUA6NLw09EwE0CqkOc4q9oUmW1yo/edit?usp=sharing"",""พะเยา!I319"")"),50)</f>
        <v>50</v>
      </c>
      <c r="J424" s="393">
        <f ca="1">IFERROR(__xludf.DUMMYFUNCTION("IMPORTRANGE(""https://docs.google.com/spreadsheets/d/11923uPwbBZFjjGgGUA6NLw09EwE0CqkOc4q9oUmW1yo/edit?usp=sharing"",""พะเยา!J319"")"),50)</f>
        <v>50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IFERROR(__xludf.DUMMYFUNCTION("IMPORTRANGE(""https://docs.google.com/spreadsheets/d/11923uPwbBZFjjGgGUA6NLw09EwE0CqkOc4q9oUmW1yo/edit?usp=sharing"",""พะเยา!I320"")"),50)</f>
        <v>50</v>
      </c>
      <c r="J425" s="393">
        <f ca="1">IFERROR(__xludf.DUMMYFUNCTION("IMPORTRANGE(""https://docs.google.com/spreadsheets/d/11923uPwbBZFjjGgGUA6NLw09EwE0CqkOc4q9oUmW1yo/edit?usp=sharing"",""พะเยา!J320"")"),50)</f>
        <v>50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IFERROR(__xludf.DUMMYFUNCTION("IMPORTRANGE(""https://docs.google.com/spreadsheets/d/11923uPwbBZFjjGgGUA6NLw09EwE0CqkOc4q9oUmW1yo/edit?usp=sharing"",""พะเยา!I321"")"),17)</f>
        <v>17</v>
      </c>
      <c r="J426" s="391">
        <f ca="1">IFERROR(__xludf.DUMMYFUNCTION("IMPORTRANGE(""https://docs.google.com/spreadsheets/d/11923uPwbBZFjjGgGUA6NLw09EwE0CqkOc4q9oUmW1yo/edit?usp=sharing"",""พะเยา!J321"")"),17)</f>
        <v>17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IFERROR(__xludf.DUMMYFUNCTION("IMPORTRANGE(""https://docs.google.com/spreadsheets/d/11923uPwbBZFjjGgGUA6NLw09EwE0CqkOc4q9oUmW1yo/edit?usp=sharing"",""พะเยา!I322"")"),51)</f>
        <v>51</v>
      </c>
      <c r="J427" s="392">
        <f ca="1">IFERROR(__xludf.DUMMYFUNCTION("IMPORTRANGE(""https://docs.google.com/spreadsheets/d/11923uPwbBZFjjGgGUA6NLw09EwE0CqkOc4q9oUmW1yo/edit?usp=sharing"",""พะเยา!J322"")"),51)</f>
        <v>51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IFERROR(__xludf.DUMMYFUNCTION("IMPORTRANGE(""https://docs.google.com/spreadsheets/d/11923uPwbBZFjjGgGUA6NLw09EwE0CqkOc4q9oUmW1yo/edit?usp=sharing"",""พะเยา!I323"")"),17)</f>
        <v>17</v>
      </c>
      <c r="J428" s="393">
        <f ca="1">IFERROR(__xludf.DUMMYFUNCTION("IMPORTRANGE(""https://docs.google.com/spreadsheets/d/11923uPwbBZFjjGgGUA6NLw09EwE0CqkOc4q9oUmW1yo/edit?usp=sharing"",""พะเยา!J323"")"),17)</f>
        <v>17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IFERROR(__xludf.DUMMYFUNCTION("IMPORTRANGE(""https://docs.google.com/spreadsheets/d/11923uPwbBZFjjGgGUA6NLw09EwE0CqkOc4q9oUmW1yo/edit?usp=sharing"",""พะเยา!I324"")"),17)</f>
        <v>17</v>
      </c>
      <c r="J429" s="393">
        <f ca="1">IFERROR(__xludf.DUMMYFUNCTION("IMPORTRANGE(""https://docs.google.com/spreadsheets/d/11923uPwbBZFjjGgGUA6NLw09EwE0CqkOc4q9oUmW1yo/edit?usp=sharing"",""พะเยา!J324"")"),17)</f>
        <v>17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IFERROR(__xludf.DUMMYFUNCTION("IMPORTRANGE(""https://docs.google.com/spreadsheets/d/11923uPwbBZFjjGgGUA6NLw09EwE0CqkOc4q9oUmW1yo/edit?usp=sharing"",""พะเยา!I325"")"),70)</f>
        <v>70</v>
      </c>
      <c r="J430" s="391">
        <f ca="1">IFERROR(__xludf.DUMMYFUNCTION("IMPORTRANGE(""https://docs.google.com/spreadsheets/d/11923uPwbBZFjjGgGUA6NLw09EwE0CqkOc4q9oUmW1yo/edit?usp=sharing"",""พะเยา!J325"")"),70)</f>
        <v>70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IFERROR(__xludf.DUMMYFUNCTION("IMPORTRANGE(""https://docs.google.com/spreadsheets/d/11923uPwbBZFjjGgGUA6NLw09EwE0CqkOc4q9oUmW1yo/edit?usp=sharing"",""พะเยา!I326"")"),20)</f>
        <v>20</v>
      </c>
      <c r="J431" s="393">
        <f ca="1">IFERROR(__xludf.DUMMYFUNCTION("IMPORTRANGE(""https://docs.google.com/spreadsheets/d/11923uPwbBZFjjGgGUA6NLw09EwE0CqkOc4q9oUmW1yo/edit?usp=sharing"",""พะเยา!J326"")"),20)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IFERROR(__xludf.DUMMYFUNCTION("IMPORTRANGE(""https://docs.google.com/spreadsheets/d/11923uPwbBZFjjGgGUA6NLw09EwE0CqkOc4q9oUmW1yo/edit?usp=sharing"",""พะเยา!I327"")"),50)</f>
        <v>50</v>
      </c>
      <c r="J432" s="393">
        <f ca="1">IFERROR(__xludf.DUMMYFUNCTION("IMPORTRANGE(""https://docs.google.com/spreadsheets/d/11923uPwbBZFjjGgGUA6NLw09EwE0CqkOc4q9oUmW1yo/edit?usp=sharing"",""พะเยา!J327"")"),50)</f>
        <v>50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IFERROR(__xludf.DUMMYFUNCTION("IMPORTRANGE(""https://docs.google.com/spreadsheets/d/11923uPwbBZFjjGgGUA6NLw09EwE0CqkOc4q9oUmW1yo/edit?usp=sharing"",""พะเยา!J328"")"),0)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IFERROR(__xludf.DUMMYFUNCTION("IMPORTRANGE(""https://docs.google.com/spreadsheets/d/11923uPwbBZFjjGgGUA6NLw09EwE0CqkOc4q9oUmW1yo/edit?usp=sharing"",""พะเยา!J329"")"),0)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IFERROR(__xludf.DUMMYFUNCTION("IMPORTRANGE(""https://docs.google.com/spreadsheets/d/11923uPwbBZFjjGgGUA6NLw09EwE0CqkOc4q9oUmW1yo/edit?usp=sharing"",""พะเยา!I330"")"),43)</f>
        <v>43</v>
      </c>
      <c r="J435" s="409">
        <f ca="1">IFERROR(__xludf.DUMMYFUNCTION("IMPORTRANGE(""https://docs.google.com/spreadsheets/d/11923uPwbBZFjjGgGUA6NLw09EwE0CqkOc4q9oUmW1yo/edit?usp=sharing"",""พะเยา!J330"")"),43)</f>
        <v>43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IFERROR(__xludf.DUMMYFUNCTION("IMPORTRANGE(""https://docs.google.com/spreadsheets/d/11923uPwbBZFjjGgGUA6NLw09EwE0CqkOc4q9oUmW1yo/edit?usp=sharing"",""พะเยา!L330"")"),150000)</f>
        <v>150000</v>
      </c>
      <c r="M435" s="411"/>
      <c r="N435" s="411">
        <f ca="1">IFERROR(__xludf.DUMMYFUNCTION("IMPORTRANGE(""https://docs.google.com/spreadsheets/d/11923uPwbBZFjjGgGUA6NLw09EwE0CqkOc4q9oUmW1yo/edit?usp=sharing"",""พะเยา!M330"")"),76896)</f>
        <v>76896</v>
      </c>
      <c r="O435" s="411">
        <f t="shared" ref="O435:O439" ca="1" si="114">+IF(L435&gt;0,N435*100/L435,0)</f>
        <v>51.264000000000003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IFERROR(__xludf.DUMMYFUNCTION("IMPORTRANGE(""https://docs.google.com/spreadsheets/d/11923uPwbBZFjjGgGUA6NLw09EwE0CqkOc4q9oUmW1yo/edit?usp=sharing"",""พะเยา!L331"")"),0)</f>
        <v>0</v>
      </c>
      <c r="M436" s="164"/>
      <c r="N436" s="168">
        <f ca="1">IFERROR(__xludf.DUMMYFUNCTION("IMPORTRANGE(""https://docs.google.com/spreadsheets/d/11923uPwbBZFjjGgGUA6NLw09EwE0CqkOc4q9oUmW1yo/edit?usp=sharing"",""พะเยา!M331"")"),0)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IFERROR(__xludf.DUMMYFUNCTION("IMPORTRANGE(""https://docs.google.com/spreadsheets/d/11923uPwbBZFjjGgGUA6NLw09EwE0CqkOc4q9oUmW1yo/edit?usp=sharing"",""พะเยา!L332"")"),150000)</f>
        <v>150000</v>
      </c>
      <c r="M437" s="165"/>
      <c r="N437" s="168">
        <f ca="1">IFERROR(__xludf.DUMMYFUNCTION("IMPORTRANGE(""https://docs.google.com/spreadsheets/d/11923uPwbBZFjjGgGUA6NLw09EwE0CqkOc4q9oUmW1yo/edit?usp=sharing"",""พะเยา!M332"")"),76896)</f>
        <v>76896</v>
      </c>
      <c r="O437" s="168">
        <f t="shared" ca="1" si="114"/>
        <v>51.264000000000003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IFERROR(__xludf.DUMMYFUNCTION("IMPORTRANGE(""https://docs.google.com/spreadsheets/d/11923uPwbBZFjjGgGUA6NLw09EwE0CqkOc4q9oUmW1yo/edit?usp=sharing"",""พะเยา!L333"")"),0)</f>
        <v>0</v>
      </c>
      <c r="M438" s="168"/>
      <c r="N438" s="168">
        <f ca="1">IFERROR(__xludf.DUMMYFUNCTION("IMPORTRANGE(""https://docs.google.com/spreadsheets/d/11923uPwbBZFjjGgGUA6NLw09EwE0CqkOc4q9oUmW1yo/edit?usp=sharing"",""พะเยา!M333"")"),0)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IFERROR(__xludf.DUMMYFUNCTION("IMPORTRANGE(""https://docs.google.com/spreadsheets/d/11923uPwbBZFjjGgGUA6NLw09EwE0CqkOc4q9oUmW1yo/edit?usp=sharing"",""พะเยา!L334"")"),150000)</f>
        <v>150000</v>
      </c>
      <c r="M439" s="168"/>
      <c r="N439" s="168">
        <f ca="1">IFERROR(__xludf.DUMMYFUNCTION("IMPORTRANGE(""https://docs.google.com/spreadsheets/d/11923uPwbBZFjjGgGUA6NLw09EwE0CqkOc4q9oUmW1yo/edit?usp=sharing"",""พะเยา!M334"")"),76896)</f>
        <v>76896</v>
      </c>
      <c r="O439" s="168">
        <f t="shared" ca="1" si="114"/>
        <v>51.264000000000003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IFERROR(__xludf.DUMMYFUNCTION("IMPORTRANGE(""https://docs.google.com/spreadsheets/d/11923uPwbBZFjjGgGUA6NLw09EwE0CqkOc4q9oUmW1yo/edit?usp=sharing"",""พะเยา!M335"")"),62958)</f>
        <v>62958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IFERROR(__xludf.DUMMYFUNCTION("IMPORTRANGE(""https://docs.google.com/spreadsheets/d/11923uPwbBZFjjGgGUA6NLw09EwE0CqkOc4q9oUmW1yo/edit?usp=sharing"",""พะเยา!M336"")"),0)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IFERROR(__xludf.DUMMYFUNCTION("IMPORTRANGE(""https://docs.google.com/spreadsheets/d/11923uPwbBZFjjGgGUA6NLw09EwE0CqkOc4q9oUmW1yo/edit?usp=sharing"",""พะเยา!M337"")"),0)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IFERROR(__xludf.DUMMYFUNCTION("IMPORTRANGE(""https://docs.google.com/spreadsheets/d/11923uPwbBZFjjGgGUA6NLw09EwE0CqkOc4q9oUmW1yo/edit?usp=sharing"",""พะเยา!M338"")"),13938)</f>
        <v>13938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IFERROR(__xludf.DUMMYFUNCTION("IMPORTRANGE(""https://docs.google.com/spreadsheets/d/11923uPwbBZFjjGgGUA6NLw09EwE0CqkOc4q9oUmW1yo/edit?usp=sharing"",""พะเยา!J340"")"),0)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IFERROR(__xludf.DUMMYFUNCTION("IMPORTRANGE(""https://docs.google.com/spreadsheets/d/11923uPwbBZFjjGgGUA6NLw09EwE0CqkOc4q9oUmW1yo/edit?usp=sharing"",""พะเยา!J341"")"),1)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IFERROR(__xludf.DUMMYFUNCTION("IMPORTRANGE(""https://docs.google.com/spreadsheets/d/11923uPwbBZFjjGgGUA6NLw09EwE0CqkOc4q9oUmW1yo/edit?usp=sharing"",""พะเยา!J342"")"),1)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IFERROR(__xludf.DUMMYFUNCTION("IMPORTRANGE(""https://docs.google.com/spreadsheets/d/11923uPwbBZFjjGgGUA6NLw09EwE0CqkOc4q9oUmW1yo/edit?usp=sharing"",""พะเยา!J343"")"),1)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IFERROR(__xludf.DUMMYFUNCTION("IMPORTRANGE(""https://docs.google.com/spreadsheets/d/11923uPwbBZFjjGgGUA6NLw09EwE0CqkOc4q9oUmW1yo/edit?usp=sharing"",""พะเยา!I344"")"),43)</f>
        <v>43</v>
      </c>
      <c r="J449" s="200">
        <f ca="1">IFERROR(__xludf.DUMMYFUNCTION("IMPORTRANGE(""https://docs.google.com/spreadsheets/d/11923uPwbBZFjjGgGUA6NLw09EwE0CqkOc4q9oUmW1yo/edit?usp=sharing"",""พะเยา!J344"")"),43)</f>
        <v>43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IFERROR(__xludf.DUMMYFUNCTION("IMPORTRANGE(""https://docs.google.com/spreadsheets/d/11923uPwbBZFjjGgGUA6NLw09EwE0CqkOc4q9oUmW1yo/edit?usp=sharing"",""พะเยา!I345"")"),43)</f>
        <v>43</v>
      </c>
      <c r="J450" s="188">
        <f ca="1">IFERROR(__xludf.DUMMYFUNCTION("IMPORTRANGE(""https://docs.google.com/spreadsheets/d/11923uPwbBZFjjGgGUA6NLw09EwE0CqkOc4q9oUmW1yo/edit?usp=sharing"",""พะเยา!J345"")"),43)</f>
        <v>43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IFERROR(__xludf.DUMMYFUNCTION("IMPORTRANGE(""https://docs.google.com/spreadsheets/d/11923uPwbBZFjjGgGUA6NLw09EwE0CqkOc4q9oUmW1yo/edit?usp=sharing"",""พะเยา!I346"")"),0)</f>
        <v>0</v>
      </c>
      <c r="J451" s="187">
        <f ca="1">IFERROR(__xludf.DUMMYFUNCTION("IMPORTRANGE(""https://docs.google.com/spreadsheets/d/11923uPwbBZFjjGgGUA6NLw09EwE0CqkOc4q9oUmW1yo/edit?usp=sharing"",""พะเยา!J346"")"),0)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IFERROR(__xludf.DUMMYFUNCTION("IMPORTRANGE(""https://docs.google.com/spreadsheets/d/11923uPwbBZFjjGgGUA6NLw09EwE0CqkOc4q9oUmW1yo/edit?usp=sharing"",""พะเยา!I347"")"),0)</f>
        <v>0</v>
      </c>
      <c r="J452" s="187">
        <f ca="1">IFERROR(__xludf.DUMMYFUNCTION("IMPORTRANGE(""https://docs.google.com/spreadsheets/d/11923uPwbBZFjjGgGUA6NLw09EwE0CqkOc4q9oUmW1yo/edit?usp=sharing"",""พะเยา!J347"")"),0)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IFERROR(__xludf.DUMMYFUNCTION("IMPORTRANGE(""https://docs.google.com/spreadsheets/d/11923uPwbBZFjjGgGUA6NLw09EwE0CqkOc4q9oUmW1yo/edit?usp=sharing"",""พะเยา!J348"")"),0)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IFERROR(__xludf.DUMMYFUNCTION("IMPORTRANGE(""https://docs.google.com/spreadsheets/d/11923uPwbBZFjjGgGUA6NLw09EwE0CqkOc4q9oUmW1yo/edit?usp=sharing"",""พะเยา!J349"")"),0)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IFERROR(__xludf.DUMMYFUNCTION("IMPORTRANGE(""https://docs.google.com/spreadsheets/d/11923uPwbBZFjjGgGUA6NLw09EwE0CqkOc4q9oUmW1yo/edit?usp=sharing"",""พะเยา!I350"")"),31127)</f>
        <v>31127</v>
      </c>
      <c r="J455" s="370">
        <f ca="1">IFERROR(__xludf.DUMMYFUNCTION("IMPORTRANGE(""https://docs.google.com/spreadsheets/d/11923uPwbBZFjjGgGUA6NLw09EwE0CqkOc4q9oUmW1yo/edit?usp=sharing"",""พะเยา!J350"")"),0)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IFERROR(__xludf.DUMMYFUNCTION("IMPORTRANGE(""https://docs.google.com/spreadsheets/d/11923uPwbBZFjjGgGUA6NLw09EwE0CqkOc4q9oUmW1yo/edit?usp=sharing"",""พะเยา!L350"")"),403546)</f>
        <v>403546</v>
      </c>
      <c r="M455" s="372"/>
      <c r="N455" s="372">
        <f ca="1">IFERROR(__xludf.DUMMYFUNCTION("IMPORTRANGE(""https://docs.google.com/spreadsheets/d/11923uPwbBZFjjGgGUA6NLw09EwE0CqkOc4q9oUmW1yo/edit?usp=sharing"",""พะเยา!M350"")"),244553.85)</f>
        <v>244553.85</v>
      </c>
      <c r="O455" s="372">
        <f t="shared" ref="O455:O459" ca="1" si="116">+IF(L455&gt;0,N455*100/L455,0)</f>
        <v>60.601232573238242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IFERROR(__xludf.DUMMYFUNCTION("IMPORTRANGE(""https://docs.google.com/spreadsheets/d/11923uPwbBZFjjGgGUA6NLw09EwE0CqkOc4q9oUmW1yo/edit?usp=sharing"",""พะเยา!L351"")"),0)</f>
        <v>0</v>
      </c>
      <c r="M456" s="164"/>
      <c r="N456" s="168">
        <f ca="1">IFERROR(__xludf.DUMMYFUNCTION("IMPORTRANGE(""https://docs.google.com/spreadsheets/d/11923uPwbBZFjjGgGUA6NLw09EwE0CqkOc4q9oUmW1yo/edit?usp=sharing"",""พะเยา!M351"")"),0)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IFERROR(__xludf.DUMMYFUNCTION("IMPORTRANGE(""https://docs.google.com/spreadsheets/d/11923uPwbBZFjjGgGUA6NLw09EwE0CqkOc4q9oUmW1yo/edit?usp=sharing"",""พะเยา!L352"")"),403546)</f>
        <v>403546</v>
      </c>
      <c r="M457" s="165"/>
      <c r="N457" s="168">
        <f ca="1">IFERROR(__xludf.DUMMYFUNCTION("IMPORTRANGE(""https://docs.google.com/spreadsheets/d/11923uPwbBZFjjGgGUA6NLw09EwE0CqkOc4q9oUmW1yo/edit?usp=sharing"",""พะเยา!M352"")"),244553.85)</f>
        <v>244553.85</v>
      </c>
      <c r="O457" s="168">
        <f t="shared" ca="1" si="116"/>
        <v>60.601232573238242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IFERROR(__xludf.DUMMYFUNCTION("IMPORTRANGE(""https://docs.google.com/spreadsheets/d/11923uPwbBZFjjGgGUA6NLw09EwE0CqkOc4q9oUmW1yo/edit?usp=sharing"",""พะเยา!L353"")"),0)</f>
        <v>0</v>
      </c>
      <c r="M458" s="168"/>
      <c r="N458" s="168">
        <f ca="1">IFERROR(__xludf.DUMMYFUNCTION("IMPORTRANGE(""https://docs.google.com/spreadsheets/d/11923uPwbBZFjjGgGUA6NLw09EwE0CqkOc4q9oUmW1yo/edit?usp=sharing"",""พะเยา!M353"")"),0)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IFERROR(__xludf.DUMMYFUNCTION("IMPORTRANGE(""https://docs.google.com/spreadsheets/d/11923uPwbBZFjjGgGUA6NLw09EwE0CqkOc4q9oUmW1yo/edit?usp=sharing"",""พะเยา!L354"")"),403546)</f>
        <v>403546</v>
      </c>
      <c r="M459" s="168"/>
      <c r="N459" s="168">
        <f ca="1">IFERROR(__xludf.DUMMYFUNCTION("IMPORTRANGE(""https://docs.google.com/spreadsheets/d/11923uPwbBZFjjGgGUA6NLw09EwE0CqkOc4q9oUmW1yo/edit?usp=sharing"",""พะเยา!M354"")"),244553.85)</f>
        <v>244553.85</v>
      </c>
      <c r="O459" s="168">
        <f t="shared" ca="1" si="116"/>
        <v>60.601232573238242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IFERROR(__xludf.DUMMYFUNCTION("IMPORTRANGE(""https://docs.google.com/spreadsheets/d/11923uPwbBZFjjGgGUA6NLw09EwE0CqkOc4q9oUmW1yo/edit?usp=sharing"",""พะเยา!M355"")"),0)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IFERROR(__xludf.DUMMYFUNCTION("IMPORTRANGE(""https://docs.google.com/spreadsheets/d/11923uPwbBZFjjGgGUA6NLw09EwE0CqkOc4q9oUmW1yo/edit?usp=sharing"",""พะเยา!M356"")"),0)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IFERROR(__xludf.DUMMYFUNCTION("IMPORTRANGE(""https://docs.google.com/spreadsheets/d/11923uPwbBZFjjGgGUA6NLw09EwE0CqkOc4q9oUmW1yo/edit?usp=sharing"",""พะเยา!M357"")"),84619.35)</f>
        <v>84619.35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IFERROR(__xludf.DUMMYFUNCTION("IMPORTRANGE(""https://docs.google.com/spreadsheets/d/11923uPwbBZFjjGgGUA6NLw09EwE0CqkOc4q9oUmW1yo/edit?usp=sharing"",""พะเยา!M358"")"),159934.5)</f>
        <v>159934.5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IFERROR(__xludf.DUMMYFUNCTION("IMPORTRANGE(""https://docs.google.com/spreadsheets/d/11923uPwbBZFjjGgGUA6NLw09EwE0CqkOc4q9oUmW1yo/edit?usp=sharing"",""พะเยา!I359"")"),31127)</f>
        <v>31127</v>
      </c>
      <c r="J464" s="267">
        <f ca="1">IFERROR(__xludf.DUMMYFUNCTION("IMPORTRANGE(""https://docs.google.com/spreadsheets/d/11923uPwbBZFjjGgGUA6NLw09EwE0CqkOc4q9oUmW1yo/edit?usp=sharing"",""พะเยา!J359"")"),0)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IFERROR(__xludf.DUMMYFUNCTION("IMPORTRANGE(""https://docs.google.com/spreadsheets/d/11923uPwbBZFjjGgGUA6NLw09EwE0CqkOc4q9oUmW1yo/edit?usp=sharing"",""พะเยา!I360"")"),31127)</f>
        <v>31127</v>
      </c>
      <c r="J465" s="420">
        <f ca="1">IFERROR(__xludf.DUMMYFUNCTION("IMPORTRANGE(""https://docs.google.com/spreadsheets/d/11923uPwbBZFjjGgGUA6NLw09EwE0CqkOc4q9oUmW1yo/edit?usp=sharing"",""พะเยา!J360"")"),31127)</f>
        <v>31127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IFERROR(__xludf.DUMMYFUNCTION("IMPORTRANGE(""https://docs.google.com/spreadsheets/d/11923uPwbBZFjjGgGUA6NLw09EwE0CqkOc4q9oUmW1yo/edit?usp=sharing"",""พะเยา!I361"")"),5512)</f>
        <v>5512</v>
      </c>
      <c r="J466" s="420">
        <f ca="1">IFERROR(__xludf.DUMMYFUNCTION("IMPORTRANGE(""https://docs.google.com/spreadsheets/d/11923uPwbBZFjjGgGUA6NLw09EwE0CqkOc4q9oUmW1yo/edit?usp=sharing"",""พะเยา!J361"")"),5512)</f>
        <v>5512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IFERROR(__xludf.DUMMYFUNCTION("IMPORTRANGE(""https://docs.google.com/spreadsheets/d/11923uPwbBZFjjGgGUA6NLw09EwE0CqkOc4q9oUmW1yo/edit?usp=sharing"",""พะเยา!I362"")"),0)</f>
        <v>0</v>
      </c>
      <c r="J467" s="188">
        <f ca="1">IFERROR(__xludf.DUMMYFUNCTION("IMPORTRANGE(""https://docs.google.com/spreadsheets/d/11923uPwbBZFjjGgGUA6NLw09EwE0CqkOc4q9oUmW1yo/edit?usp=sharing"",""พะเยา!J362"")"),22933)</f>
        <v>22933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IFERROR(__xludf.DUMMYFUNCTION("IMPORTRANGE(""https://docs.google.com/spreadsheets/d/11923uPwbBZFjjGgGUA6NLw09EwE0CqkOc4q9oUmW1yo/edit?usp=sharing"",""พะเยา!I363"")"),0)</f>
        <v>0</v>
      </c>
      <c r="J468" s="188">
        <f ca="1">IFERROR(__xludf.DUMMYFUNCTION("IMPORTRANGE(""https://docs.google.com/spreadsheets/d/11923uPwbBZFjjGgGUA6NLw09EwE0CqkOc4q9oUmW1yo/edit?usp=sharing"",""พะเยา!J363"")"),4298)</f>
        <v>4298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IFERROR(__xludf.DUMMYFUNCTION("IMPORTRANGE(""https://docs.google.com/spreadsheets/d/11923uPwbBZFjjGgGUA6NLw09EwE0CqkOc4q9oUmW1yo/edit?usp=sharing"",""พะเยา!I364"")"),0)</f>
        <v>0</v>
      </c>
      <c r="J469" s="188">
        <f ca="1">IFERROR(__xludf.DUMMYFUNCTION("IMPORTRANGE(""https://docs.google.com/spreadsheets/d/11923uPwbBZFjjGgGUA6NLw09EwE0CqkOc4q9oUmW1yo/edit?usp=sharing"",""พะเยา!J364"")"),7504)</f>
        <v>7504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IFERROR(__xludf.DUMMYFUNCTION("IMPORTRANGE(""https://docs.google.com/spreadsheets/d/11923uPwbBZFjjGgGUA6NLw09EwE0CqkOc4q9oUmW1yo/edit?usp=sharing"",""พะเยา!I365"")"),0)</f>
        <v>0</v>
      </c>
      <c r="J470" s="188">
        <f ca="1">IFERROR(__xludf.DUMMYFUNCTION("IMPORTRANGE(""https://docs.google.com/spreadsheets/d/11923uPwbBZFjjGgGUA6NLw09EwE0CqkOc4q9oUmW1yo/edit?usp=sharing"",""พะเยา!J365"")"),1088)</f>
        <v>1088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IFERROR(__xludf.DUMMYFUNCTION("IMPORTRANGE(""https://docs.google.com/spreadsheets/d/11923uPwbBZFjjGgGUA6NLw09EwE0CqkOc4q9oUmW1yo/edit?usp=sharing"",""พะเยา!I366"")"),0)</f>
        <v>0</v>
      </c>
      <c r="J471" s="188">
        <f ca="1">IFERROR(__xludf.DUMMYFUNCTION("IMPORTRANGE(""https://docs.google.com/spreadsheets/d/11923uPwbBZFjjGgGUA6NLw09EwE0CqkOc4q9oUmW1yo/edit?usp=sharing"",""พะเยา!J366"")"),690)</f>
        <v>690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IFERROR(__xludf.DUMMYFUNCTION("IMPORTRANGE(""https://docs.google.com/spreadsheets/d/11923uPwbBZFjjGgGUA6NLw09EwE0CqkOc4q9oUmW1yo/edit?usp=sharing"",""พะเยา!I367"")"),0)</f>
        <v>0</v>
      </c>
      <c r="J472" s="188">
        <f ca="1">IFERROR(__xludf.DUMMYFUNCTION("IMPORTRANGE(""https://docs.google.com/spreadsheets/d/11923uPwbBZFjjGgGUA6NLw09EwE0CqkOc4q9oUmW1yo/edit?usp=sharing"",""พะเยา!J367"")"),126)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IFERROR(__xludf.DUMMYFUNCTION("IMPORTRANGE(""https://docs.google.com/spreadsheets/d/11923uPwbBZFjjGgGUA6NLw09EwE0CqkOc4q9oUmW1yo/edit?usp=sharing"",""พะเยา!I368"")"),31127)</f>
        <v>31127</v>
      </c>
      <c r="J473" s="420">
        <f ca="1">IFERROR(__xludf.DUMMYFUNCTION("IMPORTRANGE(""https://docs.google.com/spreadsheets/d/11923uPwbBZFjjGgGUA6NLw09EwE0CqkOc4q9oUmW1yo/edit?usp=sharing"",""พะเยา!J368"")"),31126)</f>
        <v>31126</v>
      </c>
      <c r="K473" s="201">
        <f t="shared" ca="1" si="117"/>
        <v>99.996787355029397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IFERROR(__xludf.DUMMYFUNCTION("IMPORTRANGE(""https://docs.google.com/spreadsheets/d/11923uPwbBZFjjGgGUA6NLw09EwE0CqkOc4q9oUmW1yo/edit?usp=sharing"",""พะเยา!I369"")"),5512)</f>
        <v>5512</v>
      </c>
      <c r="J474" s="420">
        <f ca="1">IFERROR(__xludf.DUMMYFUNCTION("IMPORTRANGE(""https://docs.google.com/spreadsheets/d/11923uPwbBZFjjGgGUA6NLw09EwE0CqkOc4q9oUmW1yo/edit?usp=sharing"",""พะเยา!J369"")"),5512)</f>
        <v>5512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IFERROR(__xludf.DUMMYFUNCTION("IMPORTRANGE(""https://docs.google.com/spreadsheets/d/11923uPwbBZFjjGgGUA6NLw09EwE0CqkOc4q9oUmW1yo/edit?usp=sharing"",""พะเยา!I370"")"),0)</f>
        <v>0</v>
      </c>
      <c r="J475" s="188">
        <f ca="1">IFERROR(__xludf.DUMMYFUNCTION("IMPORTRANGE(""https://docs.google.com/spreadsheets/d/11923uPwbBZFjjGgGUA6NLw09EwE0CqkOc4q9oUmW1yo/edit?usp=sharing"",""พะเยา!J370"")"),23921)</f>
        <v>23921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IFERROR(__xludf.DUMMYFUNCTION("IMPORTRANGE(""https://docs.google.com/spreadsheets/d/11923uPwbBZFjjGgGUA6NLw09EwE0CqkOc4q9oUmW1yo/edit?usp=sharing"",""พะเยา!I371"")"),0)</f>
        <v>0</v>
      </c>
      <c r="J476" s="188">
        <f ca="1">IFERROR(__xludf.DUMMYFUNCTION("IMPORTRANGE(""https://docs.google.com/spreadsheets/d/11923uPwbBZFjjGgGUA6NLw09EwE0CqkOc4q9oUmW1yo/edit?usp=sharing"",""พะเยา!J371"")"),4453)</f>
        <v>4453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IFERROR(__xludf.DUMMYFUNCTION("IMPORTRANGE(""https://docs.google.com/spreadsheets/d/11923uPwbBZFjjGgGUA6NLw09EwE0CqkOc4q9oUmW1yo/edit?usp=sharing"",""พะเยา!I372"")"),0)</f>
        <v>0</v>
      </c>
      <c r="J477" s="188">
        <f ca="1">IFERROR(__xludf.DUMMYFUNCTION("IMPORTRANGE(""https://docs.google.com/spreadsheets/d/11923uPwbBZFjjGgGUA6NLw09EwE0CqkOc4q9oUmW1yo/edit?usp=sharing"",""พะเยา!J372"")"),6752)</f>
        <v>6752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IFERROR(__xludf.DUMMYFUNCTION("IMPORTRANGE(""https://docs.google.com/spreadsheets/d/11923uPwbBZFjjGgGUA6NLw09EwE0CqkOc4q9oUmW1yo/edit?usp=sharing"",""พะเยา!I373"")"),0)</f>
        <v>0</v>
      </c>
      <c r="J478" s="188">
        <f ca="1">IFERROR(__xludf.DUMMYFUNCTION("IMPORTRANGE(""https://docs.google.com/spreadsheets/d/11923uPwbBZFjjGgGUA6NLw09EwE0CqkOc4q9oUmW1yo/edit?usp=sharing"",""พะเยา!J373"")"),989)</f>
        <v>989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IFERROR(__xludf.DUMMYFUNCTION("IMPORTRANGE(""https://docs.google.com/spreadsheets/d/11923uPwbBZFjjGgGUA6NLw09EwE0CqkOc4q9oUmW1yo/edit?usp=sharing"",""พะเยา!I374"")"),0)</f>
        <v>0</v>
      </c>
      <c r="J479" s="188">
        <f ca="1">IFERROR(__xludf.DUMMYFUNCTION("IMPORTRANGE(""https://docs.google.com/spreadsheets/d/11923uPwbBZFjjGgGUA6NLw09EwE0CqkOc4q9oUmW1yo/edit?usp=sharing"",""พะเยา!J374"")"),453)</f>
        <v>453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IFERROR(__xludf.DUMMYFUNCTION("IMPORTRANGE(""https://docs.google.com/spreadsheets/d/11923uPwbBZFjjGgGUA6NLw09EwE0CqkOc4q9oUmW1yo/edit?usp=sharing"",""พะเยา!I375"")"),0)</f>
        <v>0</v>
      </c>
      <c r="J480" s="188">
        <f ca="1">IFERROR(__xludf.DUMMYFUNCTION("IMPORTRANGE(""https://docs.google.com/spreadsheets/d/11923uPwbBZFjjGgGUA6NLw09EwE0CqkOc4q9oUmW1yo/edit?usp=sharing"",""พะเยา!J375"")"),70)</f>
        <v>70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IFERROR(__xludf.DUMMYFUNCTION("IMPORTRANGE(""https://docs.google.com/spreadsheets/d/11923uPwbBZFjjGgGUA6NLw09EwE0CqkOc4q9oUmW1yo/edit?usp=sharing"",""พะเยา!I376"")"),31127)</f>
        <v>31127</v>
      </c>
      <c r="J481" s="420">
        <f ca="1">IFERROR(__xludf.DUMMYFUNCTION("IMPORTRANGE(""https://docs.google.com/spreadsheets/d/11923uPwbBZFjjGgGUA6NLw09EwE0CqkOc4q9oUmW1yo/edit?usp=sharing"",""พะเยา!J376"")"),0)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IFERROR(__xludf.DUMMYFUNCTION("IMPORTRANGE(""https://docs.google.com/spreadsheets/d/11923uPwbBZFjjGgGUA6NLw09EwE0CqkOc4q9oUmW1yo/edit?usp=sharing"",""พะเยา!I377"")"),5512)</f>
        <v>5512</v>
      </c>
      <c r="J482" s="420">
        <f ca="1">IFERROR(__xludf.DUMMYFUNCTION("IMPORTRANGE(""https://docs.google.com/spreadsheets/d/11923uPwbBZFjjGgGUA6NLw09EwE0CqkOc4q9oUmW1yo/edit?usp=sharing"",""พะเยา!J377"")"),0)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IFERROR(__xludf.DUMMYFUNCTION("IMPORTRANGE(""https://docs.google.com/spreadsheets/d/11923uPwbBZFjjGgGUA6NLw09EwE0CqkOc4q9oUmW1yo/edit?usp=sharing"",""พะเยา!I378"")"),0)</f>
        <v>0</v>
      </c>
      <c r="J483" s="188">
        <f ca="1">IFERROR(__xludf.DUMMYFUNCTION("IMPORTRANGE(""https://docs.google.com/spreadsheets/d/11923uPwbBZFjjGgGUA6NLw09EwE0CqkOc4q9oUmW1yo/edit?usp=sharing"",""พะเยา!J378"")"),0)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IFERROR(__xludf.DUMMYFUNCTION("IMPORTRANGE(""https://docs.google.com/spreadsheets/d/11923uPwbBZFjjGgGUA6NLw09EwE0CqkOc4q9oUmW1yo/edit?usp=sharing"",""พะเยา!I379"")"),0)</f>
        <v>0</v>
      </c>
      <c r="J484" s="188">
        <f ca="1">IFERROR(__xludf.DUMMYFUNCTION("IMPORTRANGE(""https://docs.google.com/spreadsheets/d/11923uPwbBZFjjGgGUA6NLw09EwE0CqkOc4q9oUmW1yo/edit?usp=sharing"",""พะเยา!J379"")"),0)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IFERROR(__xludf.DUMMYFUNCTION("IMPORTRANGE(""https://docs.google.com/spreadsheets/d/11923uPwbBZFjjGgGUA6NLw09EwE0CqkOc4q9oUmW1yo/edit?usp=sharing"",""พะเยา!I380"")"),0)</f>
        <v>0</v>
      </c>
      <c r="J485" s="188">
        <f ca="1">IFERROR(__xludf.DUMMYFUNCTION("IMPORTRANGE(""https://docs.google.com/spreadsheets/d/11923uPwbBZFjjGgGUA6NLw09EwE0CqkOc4q9oUmW1yo/edit?usp=sharing"",""พะเยา!J380"")"),0)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IFERROR(__xludf.DUMMYFUNCTION("IMPORTRANGE(""https://docs.google.com/spreadsheets/d/11923uPwbBZFjjGgGUA6NLw09EwE0CqkOc4q9oUmW1yo/edit?usp=sharing"",""พะเยา!I381"")"),0)</f>
        <v>0</v>
      </c>
      <c r="J486" s="188">
        <f ca="1">IFERROR(__xludf.DUMMYFUNCTION("IMPORTRANGE(""https://docs.google.com/spreadsheets/d/11923uPwbBZFjjGgGUA6NLw09EwE0CqkOc4q9oUmW1yo/edit?usp=sharing"",""พะเยา!J381"")"),0)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IFERROR(__xludf.DUMMYFUNCTION("IMPORTRANGE(""https://docs.google.com/spreadsheets/d/11923uPwbBZFjjGgGUA6NLw09EwE0CqkOc4q9oUmW1yo/edit?usp=sharing"",""พะเยา!I382"")"),0)</f>
        <v>0</v>
      </c>
      <c r="J487" s="420">
        <f ca="1">IFERROR(__xludf.DUMMYFUNCTION("IMPORTRANGE(""https://docs.google.com/spreadsheets/d/11923uPwbBZFjjGgGUA6NLw09EwE0CqkOc4q9oUmW1yo/edit?usp=sharing"",""พะเยา!J382"")"),0)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IFERROR(__xludf.DUMMYFUNCTION("IMPORTRANGE(""https://docs.google.com/spreadsheets/d/11923uPwbBZFjjGgGUA6NLw09EwE0CqkOc4q9oUmW1yo/edit?usp=sharing"",""พะเยา!I383"")"),0)</f>
        <v>0</v>
      </c>
      <c r="J488" s="420">
        <f ca="1">IFERROR(__xludf.DUMMYFUNCTION("IMPORTRANGE(""https://docs.google.com/spreadsheets/d/11923uPwbBZFjjGgGUA6NLw09EwE0CqkOc4q9oUmW1yo/edit?usp=sharing"",""พะเยา!J383"")"),0)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IFERROR(__xludf.DUMMYFUNCTION("IMPORTRANGE(""https://docs.google.com/spreadsheets/d/11923uPwbBZFjjGgGUA6NLw09EwE0CqkOc4q9oUmW1yo/edit?usp=sharing"",""พะเยา!I384"")"),0)</f>
        <v>0</v>
      </c>
      <c r="J489" s="188">
        <f ca="1">IFERROR(__xludf.DUMMYFUNCTION("IMPORTRANGE(""https://docs.google.com/spreadsheets/d/11923uPwbBZFjjGgGUA6NLw09EwE0CqkOc4q9oUmW1yo/edit?usp=sharing"",""พะเยา!J384"")"),0)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IFERROR(__xludf.DUMMYFUNCTION("IMPORTRANGE(""https://docs.google.com/spreadsheets/d/11923uPwbBZFjjGgGUA6NLw09EwE0CqkOc4q9oUmW1yo/edit?usp=sharing"",""พะเยา!I385"")"),0)</f>
        <v>0</v>
      </c>
      <c r="J490" s="188">
        <f ca="1">IFERROR(__xludf.DUMMYFUNCTION("IMPORTRANGE(""https://docs.google.com/spreadsheets/d/11923uPwbBZFjjGgGUA6NLw09EwE0CqkOc4q9oUmW1yo/edit?usp=sharing"",""พะเยา!J385"")"),0)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IFERROR(__xludf.DUMMYFUNCTION("IMPORTRANGE(""https://docs.google.com/spreadsheets/d/11923uPwbBZFjjGgGUA6NLw09EwE0CqkOc4q9oUmW1yo/edit?usp=sharing"",""พะเยา!I386"")"),0)</f>
        <v>0</v>
      </c>
      <c r="J491" s="188">
        <f ca="1">IFERROR(__xludf.DUMMYFUNCTION("IMPORTRANGE(""https://docs.google.com/spreadsheets/d/11923uPwbBZFjjGgGUA6NLw09EwE0CqkOc4q9oUmW1yo/edit?usp=sharing"",""พะเยา!J386"")"),0)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IFERROR(__xludf.DUMMYFUNCTION("IMPORTRANGE(""https://docs.google.com/spreadsheets/d/11923uPwbBZFjjGgGUA6NLw09EwE0CqkOc4q9oUmW1yo/edit?usp=sharing"",""พะเยา!I387"")"),0)</f>
        <v>0</v>
      </c>
      <c r="J492" s="188">
        <f ca="1">IFERROR(__xludf.DUMMYFUNCTION("IMPORTRANGE(""https://docs.google.com/spreadsheets/d/11923uPwbBZFjjGgGUA6NLw09EwE0CqkOc4q9oUmW1yo/edit?usp=sharing"",""พะเยา!J387"")"),0)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IFERROR(__xludf.DUMMYFUNCTION("IMPORTRANGE(""https://docs.google.com/spreadsheets/d/11923uPwbBZFjjGgGUA6NLw09EwE0CqkOc4q9oUmW1yo/edit?usp=sharing"",""พะเยา!I388"")"),0)</f>
        <v>0</v>
      </c>
      <c r="J493" s="188">
        <f ca="1">IFERROR(__xludf.DUMMYFUNCTION("IMPORTRANGE(""https://docs.google.com/spreadsheets/d/11923uPwbBZFjjGgGUA6NLw09EwE0CqkOc4q9oUmW1yo/edit?usp=sharing"",""พะเยา!J388"")"),0)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IFERROR(__xludf.DUMMYFUNCTION("IMPORTRANGE(""https://docs.google.com/spreadsheets/d/11923uPwbBZFjjGgGUA6NLw09EwE0CqkOc4q9oUmW1yo/edit?usp=sharing"",""พะเยา!I389"")"),0)</f>
        <v>0</v>
      </c>
      <c r="J494" s="436">
        <f ca="1">IFERROR(__xludf.DUMMYFUNCTION("IMPORTRANGE(""https://docs.google.com/spreadsheets/d/11923uPwbBZFjjGgGUA6NLw09EwE0CqkOc4q9oUmW1yo/edit?usp=sharing"",""พะเยา!J389"")"),0)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IFERROR(__xludf.DUMMYFUNCTION("IMPORTRANGE(""https://docs.google.com/spreadsheets/d/11923uPwbBZFjjGgGUA6NLw09EwE0CqkOc4q9oUmW1yo/edit?usp=sharing"",""พะเยา!I390"")"),0)</f>
        <v>0</v>
      </c>
      <c r="J495" s="436">
        <f ca="1">IFERROR(__xludf.DUMMYFUNCTION("IMPORTRANGE(""https://docs.google.com/spreadsheets/d/11923uPwbBZFjjGgGUA6NLw09EwE0CqkOc4q9oUmW1yo/edit?usp=sharing"",""พะเยา!J390"")"),0)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IFERROR(__xludf.DUMMYFUNCTION("IMPORTRANGE(""https://docs.google.com/spreadsheets/d/11923uPwbBZFjjGgGUA6NLw09EwE0CqkOc4q9oUmW1yo/edit?usp=sharing"",""พะเยา!I391"")"),0)</f>
        <v>0</v>
      </c>
      <c r="J496" s="436">
        <f ca="1">IFERROR(__xludf.DUMMYFUNCTION("IMPORTRANGE(""https://docs.google.com/spreadsheets/d/11923uPwbBZFjjGgGUA6NLw09EwE0CqkOc4q9oUmW1yo/edit?usp=sharing"",""พะเยา!J391"")"),0)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IFERROR(__xludf.DUMMYFUNCTION("IMPORTRANGE(""https://docs.google.com/spreadsheets/d/11923uPwbBZFjjGgGUA6NLw09EwE0CqkOc4q9oUmW1yo/edit?usp=sharing"",""พะเยา!I392"")"),100)</f>
        <v>100</v>
      </c>
      <c r="J497" s="443">
        <f ca="1">IFERROR(__xludf.DUMMYFUNCTION("IMPORTRANGE(""https://docs.google.com/spreadsheets/d/11923uPwbBZFjjGgGUA6NLw09EwE0CqkOc4q9oUmW1yo/edit?usp=sharing"",""พะเยา!J392"")"),6)</f>
        <v>6</v>
      </c>
      <c r="K497" s="444">
        <f t="shared" ca="1" si="117"/>
        <v>6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IFERROR(__xludf.DUMMYFUNCTION("IMPORTRANGE(""https://docs.google.com/spreadsheets/d/11923uPwbBZFjjGgGUA6NLw09EwE0CqkOc4q9oUmW1yo/edit?usp=sharing"",""พะเยา!I393"")"),100)</f>
        <v>100</v>
      </c>
      <c r="J498" s="420">
        <f ca="1">IFERROR(__xludf.DUMMYFUNCTION("IMPORTRANGE(""https://docs.google.com/spreadsheets/d/11923uPwbBZFjjGgGUA6NLw09EwE0CqkOc4q9oUmW1yo/edit?usp=sharing"",""พะเยา!J393"")"),6)</f>
        <v>6</v>
      </c>
      <c r="K498" s="163">
        <f t="shared" ca="1" si="117"/>
        <v>6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IFERROR(__xludf.DUMMYFUNCTION("IMPORTRANGE(""https://docs.google.com/spreadsheets/d/11923uPwbBZFjjGgGUA6NLw09EwE0CqkOc4q9oUmW1yo/edit?usp=sharing"",""พะเยา!I394"")"),20)</f>
        <v>20</v>
      </c>
      <c r="J499" s="420">
        <f ca="1">IFERROR(__xludf.DUMMYFUNCTION("IMPORTRANGE(""https://docs.google.com/spreadsheets/d/11923uPwbBZFjjGgGUA6NLw09EwE0CqkOc4q9oUmW1yo/edit?usp=sharing"",""พะเยา!J394"")"),2)</f>
        <v>2</v>
      </c>
      <c r="K499" s="201">
        <f t="shared" ca="1" si="117"/>
        <v>10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IFERROR(__xludf.DUMMYFUNCTION("IMPORTRANGE(""https://docs.google.com/spreadsheets/d/11923uPwbBZFjjGgGUA6NLw09EwE0CqkOc4q9oUmW1yo/edit?usp=sharing"",""พะเยา!I395"")"),0)</f>
        <v>0</v>
      </c>
      <c r="J500" s="162">
        <f ca="1">IFERROR(__xludf.DUMMYFUNCTION("IMPORTRANGE(""https://docs.google.com/spreadsheets/d/11923uPwbBZFjjGgGUA6NLw09EwE0CqkOc4q9oUmW1yo/edit?usp=sharing"",""พะเยา!J395"")"),0)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IFERROR(__xludf.DUMMYFUNCTION("IMPORTRANGE(""https://docs.google.com/spreadsheets/d/11923uPwbBZFjjGgGUA6NLw09EwE0CqkOc4q9oUmW1yo/edit?usp=sharing"",""พะเยา!I396"")"),0)</f>
        <v>0</v>
      </c>
      <c r="J501" s="162">
        <f ca="1">IFERROR(__xludf.DUMMYFUNCTION("IMPORTRANGE(""https://docs.google.com/spreadsheets/d/11923uPwbBZFjjGgGUA6NLw09EwE0CqkOc4q9oUmW1yo/edit?usp=sharing"",""พะเยา!J396"")"),0)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IFERROR(__xludf.DUMMYFUNCTION("IMPORTRANGE(""https://docs.google.com/spreadsheets/d/11923uPwbBZFjjGgGUA6NLw09EwE0CqkOc4q9oUmW1yo/edit?usp=sharing"",""พะเยา!I397"")"),0)</f>
        <v>0</v>
      </c>
      <c r="J502" s="188">
        <f ca="1">IFERROR(__xludf.DUMMYFUNCTION("IMPORTRANGE(""https://docs.google.com/spreadsheets/d/11923uPwbBZFjjGgGUA6NLw09EwE0CqkOc4q9oUmW1yo/edit?usp=sharing"",""พะเยา!J397"")"),0)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IFERROR(__xludf.DUMMYFUNCTION("IMPORTRANGE(""https://docs.google.com/spreadsheets/d/11923uPwbBZFjjGgGUA6NLw09EwE0CqkOc4q9oUmW1yo/edit?usp=sharing"",""พะเยา!I398"")"),0)</f>
        <v>0</v>
      </c>
      <c r="J503" s="197">
        <f ca="1">IFERROR(__xludf.DUMMYFUNCTION("IMPORTRANGE(""https://docs.google.com/spreadsheets/d/11923uPwbBZFjjGgGUA6NLw09EwE0CqkOc4q9oUmW1yo/edit?usp=sharing"",""พะเยา!J398"")"),0)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IFERROR(__xludf.DUMMYFUNCTION("IMPORTRANGE(""https://docs.google.com/spreadsheets/d/11923uPwbBZFjjGgGUA6NLw09EwE0CqkOc4q9oUmW1yo/edit?usp=sharing"",""พะเยา!I399"")"),0)</f>
        <v>0</v>
      </c>
      <c r="J504" s="188">
        <f ca="1">IFERROR(__xludf.DUMMYFUNCTION("IMPORTRANGE(""https://docs.google.com/spreadsheets/d/11923uPwbBZFjjGgGUA6NLw09EwE0CqkOc4q9oUmW1yo/edit?usp=sharing"",""พะเยา!J399"")"),0)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IFERROR(__xludf.DUMMYFUNCTION("IMPORTRANGE(""https://docs.google.com/spreadsheets/d/11923uPwbBZFjjGgGUA6NLw09EwE0CqkOc4q9oUmW1yo/edit?usp=sharing"",""พะเยา!I400"")"),0)</f>
        <v>0</v>
      </c>
      <c r="J505" s="197">
        <f ca="1">IFERROR(__xludf.DUMMYFUNCTION("IMPORTRANGE(""https://docs.google.com/spreadsheets/d/11923uPwbBZFjjGgGUA6NLw09EwE0CqkOc4q9oUmW1yo/edit?usp=sharing"",""พะเยา!J400"")"),0)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IFERROR(__xludf.DUMMYFUNCTION("IMPORTRANGE(""https://docs.google.com/spreadsheets/d/11923uPwbBZFjjGgGUA6NLw09EwE0CqkOc4q9oUmW1yo/edit?usp=sharing"",""พะเยา!I401"")"),0)</f>
        <v>0</v>
      </c>
      <c r="J506" s="188">
        <f ca="1">IFERROR(__xludf.DUMMYFUNCTION("IMPORTRANGE(""https://docs.google.com/spreadsheets/d/11923uPwbBZFjjGgGUA6NLw09EwE0CqkOc4q9oUmW1yo/edit?usp=sharing"",""พะเยา!J401"")"),0)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IFERROR(__xludf.DUMMYFUNCTION("IMPORTRANGE(""https://docs.google.com/spreadsheets/d/11923uPwbBZFjjGgGUA6NLw09EwE0CqkOc4q9oUmW1yo/edit?usp=sharing"",""พะเยา!I402"")"),0)</f>
        <v>0</v>
      </c>
      <c r="J507" s="197">
        <f ca="1">IFERROR(__xludf.DUMMYFUNCTION("IMPORTRANGE(""https://docs.google.com/spreadsheets/d/11923uPwbBZFjjGgGUA6NLw09EwE0CqkOc4q9oUmW1yo/edit?usp=sharing"",""พะเยา!J402"")"),0)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IFERROR(__xludf.DUMMYFUNCTION("IMPORTRANGE(""https://docs.google.com/spreadsheets/d/11923uPwbBZFjjGgGUA6NLw09EwE0CqkOc4q9oUmW1yo/edit?usp=sharing"",""พะเยา!I403"")"),0)</f>
        <v>0</v>
      </c>
      <c r="J508" s="162">
        <f ca="1">IFERROR(__xludf.DUMMYFUNCTION("IMPORTRANGE(""https://docs.google.com/spreadsheets/d/11923uPwbBZFjjGgGUA6NLw09EwE0CqkOc4q9oUmW1yo/edit?usp=sharing"",""พะเยา!J403"")"),6)</f>
        <v>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IFERROR(__xludf.DUMMYFUNCTION("IMPORTRANGE(""https://docs.google.com/spreadsheets/d/11923uPwbBZFjjGgGUA6NLw09EwE0CqkOc4q9oUmW1yo/edit?usp=sharing"",""พะเยา!I404"")"),0)</f>
        <v>0</v>
      </c>
      <c r="J509" s="162">
        <f ca="1">IFERROR(__xludf.DUMMYFUNCTION("IMPORTRANGE(""https://docs.google.com/spreadsheets/d/11923uPwbBZFjjGgGUA6NLw09EwE0CqkOc4q9oUmW1yo/edit?usp=sharing"",""พะเยา!J404"")"),2)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IFERROR(__xludf.DUMMYFUNCTION("IMPORTRANGE(""https://docs.google.com/spreadsheets/d/11923uPwbBZFjjGgGUA6NLw09EwE0CqkOc4q9oUmW1yo/edit?usp=sharing"",""พะเยา!I405"")"),0)</f>
        <v>0</v>
      </c>
      <c r="J510" s="197">
        <f ca="1">IFERROR(__xludf.DUMMYFUNCTION("IMPORTRANGE(""https://docs.google.com/spreadsheets/d/11923uPwbBZFjjGgGUA6NLw09EwE0CqkOc4q9oUmW1yo/edit?usp=sharing"",""พะเยา!J405"")"),6)</f>
        <v>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IFERROR(__xludf.DUMMYFUNCTION("IMPORTRANGE(""https://docs.google.com/spreadsheets/d/11923uPwbBZFjjGgGUA6NLw09EwE0CqkOc4q9oUmW1yo/edit?usp=sharing"",""พะเยา!I406"")"),0)</f>
        <v>0</v>
      </c>
      <c r="J511" s="197">
        <f ca="1">IFERROR(__xludf.DUMMYFUNCTION("IMPORTRANGE(""https://docs.google.com/spreadsheets/d/11923uPwbBZFjjGgGUA6NLw09EwE0CqkOc4q9oUmW1yo/edit?usp=sharing"",""พะเยา!J406"")"),2)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IFERROR(__xludf.DUMMYFUNCTION("IMPORTRANGE(""https://docs.google.com/spreadsheets/d/11923uPwbBZFjjGgGUA6NLw09EwE0CqkOc4q9oUmW1yo/edit?usp=sharing"",""พะเยา!I407"")"),0)</f>
        <v>0</v>
      </c>
      <c r="J512" s="197">
        <f ca="1">IFERROR(__xludf.DUMMYFUNCTION("IMPORTRANGE(""https://docs.google.com/spreadsheets/d/11923uPwbBZFjjGgGUA6NLw09EwE0CqkOc4q9oUmW1yo/edit?usp=sharing"",""พะเยา!J407"")"),0)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IFERROR(__xludf.DUMMYFUNCTION("IMPORTRANGE(""https://docs.google.com/spreadsheets/d/11923uPwbBZFjjGgGUA6NLw09EwE0CqkOc4q9oUmW1yo/edit?usp=sharing"",""พะเยา!I408"")"),0)</f>
        <v>0</v>
      </c>
      <c r="J513" s="197">
        <f ca="1">IFERROR(__xludf.DUMMYFUNCTION("IMPORTRANGE(""https://docs.google.com/spreadsheets/d/11923uPwbBZFjjGgGUA6NLw09EwE0CqkOc4q9oUmW1yo/edit?usp=sharing"",""พะเยา!J408"")"),0)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IFERROR(__xludf.DUMMYFUNCTION("IMPORTRANGE(""https://docs.google.com/spreadsheets/d/11923uPwbBZFjjGgGUA6NLw09EwE0CqkOc4q9oUmW1yo/edit?usp=sharing"",""พะเยา!I409"")"),0)</f>
        <v>0</v>
      </c>
      <c r="J514" s="197">
        <f ca="1">IFERROR(__xludf.DUMMYFUNCTION("IMPORTRANGE(""https://docs.google.com/spreadsheets/d/11923uPwbBZFjjGgGUA6NLw09EwE0CqkOc4q9oUmW1yo/edit?usp=sharing"",""พะเยา!J409"")"),0)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IFERROR(__xludf.DUMMYFUNCTION("IMPORTRANGE(""https://docs.google.com/spreadsheets/d/11923uPwbBZFjjGgGUA6NLw09EwE0CqkOc4q9oUmW1yo/edit?usp=sharing"",""พะเยา!I410"")"),0)</f>
        <v>0</v>
      </c>
      <c r="J515" s="197">
        <f ca="1">IFERROR(__xludf.DUMMYFUNCTION("IMPORTRANGE(""https://docs.google.com/spreadsheets/d/11923uPwbBZFjjGgGUA6NLw09EwE0CqkOc4q9oUmW1yo/edit?usp=sharing"",""พะเยา!J410"")"),0)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IFERROR(__xludf.DUMMYFUNCTION("IMPORTRANGE(""https://docs.google.com/spreadsheets/d/11923uPwbBZFjjGgGUA6NLw09EwE0CqkOc4q9oUmW1yo/edit?usp=sharing"",""พะเยา!I411"")"),0)</f>
        <v>0</v>
      </c>
      <c r="J516" s="267">
        <f ca="1">IFERROR(__xludf.DUMMYFUNCTION("IMPORTRANGE(""https://docs.google.com/spreadsheets/d/11923uPwbBZFjjGgGUA6NLw09EwE0CqkOc4q9oUmW1yo/edit?usp=sharing"",""พะเยา!J411"")"),0)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IFERROR(__xludf.DUMMYFUNCTION("IMPORTRANGE(""https://docs.google.com/spreadsheets/d/11923uPwbBZFjjGgGUA6NLw09EwE0CqkOc4q9oUmW1yo/edit?usp=sharing"",""พะเยา!I412"")"),0)</f>
        <v>0</v>
      </c>
      <c r="J517" s="284">
        <f ca="1">IFERROR(__xludf.DUMMYFUNCTION("IMPORTRANGE(""https://docs.google.com/spreadsheets/d/11923uPwbBZFjjGgGUA6NLw09EwE0CqkOc4q9oUmW1yo/edit?usp=sharing"",""พะเยา!J412"")"),0)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IFERROR(__xludf.DUMMYFUNCTION("IMPORTRANGE(""https://docs.google.com/spreadsheets/d/11923uPwbBZFjjGgGUA6NLw09EwE0CqkOc4q9oUmW1yo/edit?usp=sharing"",""พะเยา!I413"")"),0)</f>
        <v>0</v>
      </c>
      <c r="J518" s="284">
        <f ca="1">IFERROR(__xludf.DUMMYFUNCTION("IMPORTRANGE(""https://docs.google.com/spreadsheets/d/11923uPwbBZFjjGgGUA6NLw09EwE0CqkOc4q9oUmW1yo/edit?usp=sharing"",""พะเยา!J413"")"),0)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IFERROR(__xludf.DUMMYFUNCTION("IMPORTRANGE(""https://docs.google.com/spreadsheets/d/11923uPwbBZFjjGgGUA6NLw09EwE0CqkOc4q9oUmW1yo/edit?usp=sharing"",""พะเยา!I414"")"),0)</f>
        <v>0</v>
      </c>
      <c r="J519" s="187">
        <f ca="1">IFERROR(__xludf.DUMMYFUNCTION("IMPORTRANGE(""https://docs.google.com/spreadsheets/d/11923uPwbBZFjjGgGUA6NLw09EwE0CqkOc4q9oUmW1yo/edit?usp=sharing"",""พะเยา!J414"")"),0)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IFERROR(__xludf.DUMMYFUNCTION("IMPORTRANGE(""https://docs.google.com/spreadsheets/d/11923uPwbBZFjjGgGUA6NLw09EwE0CqkOc4q9oUmW1yo/edit?usp=sharing"",""พะเยา!I415"")"),0)</f>
        <v>0</v>
      </c>
      <c r="J520" s="187">
        <f ca="1">IFERROR(__xludf.DUMMYFUNCTION("IMPORTRANGE(""https://docs.google.com/spreadsheets/d/11923uPwbBZFjjGgGUA6NLw09EwE0CqkOc4q9oUmW1yo/edit?usp=sharing"",""พะเยา!J415"")"),0)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IFERROR(__xludf.DUMMYFUNCTION("IMPORTRANGE(""https://docs.google.com/spreadsheets/d/11923uPwbBZFjjGgGUA6NLw09EwE0CqkOc4q9oUmW1yo/edit?usp=sharing"",""พะเยา!I416"")"),0)</f>
        <v>0</v>
      </c>
      <c r="J521" s="187">
        <f ca="1">IFERROR(__xludf.DUMMYFUNCTION("IMPORTRANGE(""https://docs.google.com/spreadsheets/d/11923uPwbBZFjjGgGUA6NLw09EwE0CqkOc4q9oUmW1yo/edit?usp=sharing"",""พะเยา!J416"")"),0)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IFERROR(__xludf.DUMMYFUNCTION("IMPORTRANGE(""https://docs.google.com/spreadsheets/d/11923uPwbBZFjjGgGUA6NLw09EwE0CqkOc4q9oUmW1yo/edit?usp=sharing"",""พะเยา!I417"")"),0)</f>
        <v>0</v>
      </c>
      <c r="J522" s="187">
        <f ca="1">IFERROR(__xludf.DUMMYFUNCTION("IMPORTRANGE(""https://docs.google.com/spreadsheets/d/11923uPwbBZFjjGgGUA6NLw09EwE0CqkOc4q9oUmW1yo/edit?usp=sharing"",""พะเยา!J417"")"),0)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IFERROR(__xludf.DUMMYFUNCTION("IMPORTRANGE(""https://docs.google.com/spreadsheets/d/11923uPwbBZFjjGgGUA6NLw09EwE0CqkOc4q9oUmW1yo/edit?usp=sharing"",""พะเยา!I418"")"),0)</f>
        <v>0</v>
      </c>
      <c r="J523" s="187">
        <f ca="1">IFERROR(__xludf.DUMMYFUNCTION("IMPORTRANGE(""https://docs.google.com/spreadsheets/d/11923uPwbBZFjjGgGUA6NLw09EwE0CqkOc4q9oUmW1yo/edit?usp=sharing"",""พะเยา!J418"")"),6)</f>
        <v>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IFERROR(__xludf.DUMMYFUNCTION("IMPORTRANGE(""https://docs.google.com/spreadsheets/d/11923uPwbBZFjjGgGUA6NLw09EwE0CqkOc4q9oUmW1yo/edit?usp=sharing"",""พะเยา!I419"")"),0)</f>
        <v>0</v>
      </c>
      <c r="J524" s="187">
        <f ca="1">IFERROR(__xludf.DUMMYFUNCTION("IMPORTRANGE(""https://docs.google.com/spreadsheets/d/11923uPwbBZFjjGgGUA6NLw09EwE0CqkOc4q9oUmW1yo/edit?usp=sharing"",""พะเยา!J419"")"),4)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IFERROR(__xludf.DUMMYFUNCTION("IMPORTRANGE(""https://docs.google.com/spreadsheets/d/11923uPwbBZFjjGgGUA6NLw09EwE0CqkOc4q9oUmW1yo/edit?usp=sharing"",""พะเยา!I420"")"),6)</f>
        <v>6</v>
      </c>
      <c r="J525" s="284">
        <f ca="1">IFERROR(__xludf.DUMMYFUNCTION("IMPORTRANGE(""https://docs.google.com/spreadsheets/d/11923uPwbBZFjjGgGUA6NLw09EwE0CqkOc4q9oUmW1yo/edit?usp=sharing"",""พะเยา!J420"")"),0)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IFERROR(__xludf.DUMMYFUNCTION("IMPORTRANGE(""https://docs.google.com/spreadsheets/d/11923uPwbBZFjjGgGUA6NLw09EwE0CqkOc4q9oUmW1yo/edit?usp=sharing"",""พะเยา!I421"")"),4)</f>
        <v>4</v>
      </c>
      <c r="J526" s="284">
        <f ca="1">IFERROR(__xludf.DUMMYFUNCTION("IMPORTRANGE(""https://docs.google.com/spreadsheets/d/11923uPwbBZFjjGgGUA6NLw09EwE0CqkOc4q9oUmW1yo/edit?usp=sharing"",""พะเยา!J421"")"),0)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IFERROR(__xludf.DUMMYFUNCTION("IMPORTRANGE(""https://docs.google.com/spreadsheets/d/11923uPwbBZFjjGgGUA6NLw09EwE0CqkOc4q9oUmW1yo/edit?usp=sharing"",""พะเยา!I422"")"),0)</f>
        <v>0</v>
      </c>
      <c r="J527" s="197">
        <f ca="1">IFERROR(__xludf.DUMMYFUNCTION("IMPORTRANGE(""https://docs.google.com/spreadsheets/d/11923uPwbBZFjjGgGUA6NLw09EwE0CqkOc4q9oUmW1yo/edit?usp=sharing"",""พะเยา!J422"")"),0)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IFERROR(__xludf.DUMMYFUNCTION("IMPORTRANGE(""https://docs.google.com/spreadsheets/d/11923uPwbBZFjjGgGUA6NLw09EwE0CqkOc4q9oUmW1yo/edit?usp=sharing"",""พะเยา!I423"")"),0)</f>
        <v>0</v>
      </c>
      <c r="J528" s="197">
        <f ca="1">IFERROR(__xludf.DUMMYFUNCTION("IMPORTRANGE(""https://docs.google.com/spreadsheets/d/11923uPwbBZFjjGgGUA6NLw09EwE0CqkOc4q9oUmW1yo/edit?usp=sharing"",""พะเยา!J423"")"),0)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IFERROR(__xludf.DUMMYFUNCTION("IMPORTRANGE(""https://docs.google.com/spreadsheets/d/11923uPwbBZFjjGgGUA6NLw09EwE0CqkOc4q9oUmW1yo/edit?usp=sharing"",""พะเยา!I424"")"),0)</f>
        <v>0</v>
      </c>
      <c r="J529" s="197">
        <f ca="1">IFERROR(__xludf.DUMMYFUNCTION("IMPORTRANGE(""https://docs.google.com/spreadsheets/d/11923uPwbBZFjjGgGUA6NLw09EwE0CqkOc4q9oUmW1yo/edit?usp=sharing"",""พะเยา!J424"")"),0)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IFERROR(__xludf.DUMMYFUNCTION("IMPORTRANGE(""https://docs.google.com/spreadsheets/d/11923uPwbBZFjjGgGUA6NLw09EwE0CqkOc4q9oUmW1yo/edit?usp=sharing"",""พะเยา!I425"")"),0)</f>
        <v>0</v>
      </c>
      <c r="J530" s="197">
        <f ca="1">IFERROR(__xludf.DUMMYFUNCTION("IMPORTRANGE(""https://docs.google.com/spreadsheets/d/11923uPwbBZFjjGgGUA6NLw09EwE0CqkOc4q9oUmW1yo/edit?usp=sharing"",""พะเยา!J425"")"),0)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IFERROR(__xludf.DUMMYFUNCTION("IMPORTRANGE(""https://docs.google.com/spreadsheets/d/11923uPwbBZFjjGgGUA6NLw09EwE0CqkOc4q9oUmW1yo/edit?usp=sharing"",""พะเยา!I426"")"),0)</f>
        <v>0</v>
      </c>
      <c r="J531" s="197">
        <f ca="1">IFERROR(__xludf.DUMMYFUNCTION("IMPORTRANGE(""https://docs.google.com/spreadsheets/d/11923uPwbBZFjjGgGUA6NLw09EwE0CqkOc4q9oUmW1yo/edit?usp=sharing"",""พะเยา!J426"")"),0)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IFERROR(__xludf.DUMMYFUNCTION("IMPORTRANGE(""https://docs.google.com/spreadsheets/d/11923uPwbBZFjjGgGUA6NLw09EwE0CqkOc4q9oUmW1yo/edit?usp=sharing"",""พะเยา!I427"")"),0)</f>
        <v>0</v>
      </c>
      <c r="J532" s="466">
        <f ca="1">IFERROR(__xludf.DUMMYFUNCTION("IMPORTRANGE(""https://docs.google.com/spreadsheets/d/11923uPwbBZFjjGgGUA6NLw09EwE0CqkOc4q9oUmW1yo/edit?usp=sharing"",""พะเยา!J427"")"),0)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IFERROR(__xludf.DUMMYFUNCTION("IMPORTRANGE(""https://docs.google.com/spreadsheets/d/11923uPwbBZFjjGgGUA6NLw09EwE0CqkOc4q9oUmW1yo/edit?usp=sharing"",""พะเยา!I428"")"),22)</f>
        <v>22</v>
      </c>
      <c r="J533" s="409">
        <f ca="1">IFERROR(__xludf.DUMMYFUNCTION("IMPORTRANGE(""https://docs.google.com/spreadsheets/d/11923uPwbBZFjjGgGUA6NLw09EwE0CqkOc4q9oUmW1yo/edit?usp=sharing"",""พะเยา!J428"")"),22)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IFERROR(__xludf.DUMMYFUNCTION("IMPORTRANGE(""https://docs.google.com/spreadsheets/d/11923uPwbBZFjjGgGUA6NLw09EwE0CqkOc4q9oUmW1yo/edit?usp=sharing"",""พะเยา!L428"")"),34340)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IFERROR(__xludf.DUMMYFUNCTION("IMPORTRANGE(""https://docs.google.com/spreadsheets/d/11923uPwbBZFjjGgGUA6NLw09EwE0CqkOc4q9oUmW1yo/edit?usp=sharing"",""พะเยา!M428"")"),18660)</f>
        <v>18660</v>
      </c>
      <c r="O533" s="411">
        <f t="shared" ref="O533:O537" ca="1" si="118">+IF(L533&gt;0,N533*100/L533,0)</f>
        <v>54.338963308095515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IFERROR(__xludf.DUMMYFUNCTION("IMPORTRANGE(""https://docs.google.com/spreadsheets/d/11923uPwbBZFjjGgGUA6NLw09EwE0CqkOc4q9oUmW1yo/edit?usp=sharing"",""พะเยา!L429"")"),0)</f>
        <v>0</v>
      </c>
      <c r="M534" s="164"/>
      <c r="N534" s="168">
        <f ca="1">IFERROR(__xludf.DUMMYFUNCTION("IMPORTRANGE(""https://docs.google.com/spreadsheets/d/11923uPwbBZFjjGgGUA6NLw09EwE0CqkOc4q9oUmW1yo/edit?usp=sharing"",""พะเยา!M429"")"),0)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IFERROR(__xludf.DUMMYFUNCTION("IMPORTRANGE(""https://docs.google.com/spreadsheets/d/11923uPwbBZFjjGgGUA6NLw09EwE0CqkOc4q9oUmW1yo/edit?usp=sharing"",""พะเยา!L430"")"),34340)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IFERROR(__xludf.DUMMYFUNCTION("IMPORTRANGE(""https://docs.google.com/spreadsheets/d/11923uPwbBZFjjGgGUA6NLw09EwE0CqkOc4q9oUmW1yo/edit?usp=sharing"",""พะเยา!M430"")"),18660)</f>
        <v>18660</v>
      </c>
      <c r="O535" s="168">
        <f t="shared" ca="1" si="118"/>
        <v>54.338963308095515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IFERROR(__xludf.DUMMYFUNCTION("IMPORTRANGE(""https://docs.google.com/spreadsheets/d/11923uPwbBZFjjGgGUA6NLw09EwE0CqkOc4q9oUmW1yo/edit?usp=sharing"",""พะเยา!L431"")"),0)</f>
        <v>0</v>
      </c>
      <c r="M536" s="168"/>
      <c r="N536" s="168">
        <f ca="1">IFERROR(__xludf.DUMMYFUNCTION("IMPORTRANGE(""https://docs.google.com/spreadsheets/d/11923uPwbBZFjjGgGUA6NLw09EwE0CqkOc4q9oUmW1yo/edit?usp=sharing"",""พะเยา!M431"")"),0)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IFERROR(__xludf.DUMMYFUNCTION("IMPORTRANGE(""https://docs.google.com/spreadsheets/d/11923uPwbBZFjjGgGUA6NLw09EwE0CqkOc4q9oUmW1yo/edit?usp=sharing"",""พะเยา!L432"")"),34340)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IFERROR(__xludf.DUMMYFUNCTION("IMPORTRANGE(""https://docs.google.com/spreadsheets/d/11923uPwbBZFjjGgGUA6NLw09EwE0CqkOc4q9oUmW1yo/edit?usp=sharing"",""พะเยา!M432"")"),18660)</f>
        <v>18660</v>
      </c>
      <c r="O537" s="168">
        <f t="shared" ca="1" si="118"/>
        <v>54.338963308095515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IFERROR(__xludf.DUMMYFUNCTION("IMPORTRANGE(""https://docs.google.com/spreadsheets/d/11923uPwbBZFjjGgGUA6NLw09EwE0CqkOc4q9oUmW1yo/edit?usp=sharing"",""พะเยา!M433"")"),12520)</f>
        <v>12520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IFERROR(__xludf.DUMMYFUNCTION("IMPORTRANGE(""https://docs.google.com/spreadsheets/d/11923uPwbBZFjjGgGUA6NLw09EwE0CqkOc4q9oUmW1yo/edit?usp=sharing"",""พะเยา!M434"")"),0)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IFERROR(__xludf.DUMMYFUNCTION("IMPORTRANGE(""https://docs.google.com/spreadsheets/d/11923uPwbBZFjjGgGUA6NLw09EwE0CqkOc4q9oUmW1yo/edit?usp=sharing"",""พะเยา!M435"")"),0)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IFERROR(__xludf.DUMMYFUNCTION("IMPORTRANGE(""https://docs.google.com/spreadsheets/d/11923uPwbBZFjjGgGUA6NLw09EwE0CqkOc4q9oUmW1yo/edit?usp=sharing"",""พะเยา!M436"")"),6140)</f>
        <v>6140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IFERROR(__xludf.DUMMYFUNCTION("IMPORTRANGE(""https://docs.google.com/spreadsheets/d/11923uPwbBZFjjGgGUA6NLw09EwE0CqkOc4q9oUmW1yo/edit?usp=sharing"",""พะเยา!J438"")"),0)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IFERROR(__xludf.DUMMYFUNCTION("IMPORTRANGE(""https://docs.google.com/spreadsheets/d/11923uPwbBZFjjGgGUA6NLw09EwE0CqkOc4q9oUmW1yo/edit?usp=sharing"",""พะเยา!J439"")"),1)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IFERROR(__xludf.DUMMYFUNCTION("IMPORTRANGE(""https://docs.google.com/spreadsheets/d/11923uPwbBZFjjGgGUA6NLw09EwE0CqkOc4q9oUmW1yo/edit?usp=sharing"",""พะเยา!J440"")"),1)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IFERROR(__xludf.DUMMYFUNCTION("IMPORTRANGE(""https://docs.google.com/spreadsheets/d/11923uPwbBZFjjGgGUA6NLw09EwE0CqkOc4q9oUmW1yo/edit?usp=sharing"",""พะเยา!J441"")"),1)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IFERROR(__xludf.DUMMYFUNCTION("IMPORTRANGE(""https://docs.google.com/spreadsheets/d/11923uPwbBZFjjGgGUA6NLw09EwE0CqkOc4q9oUmW1yo/edit?usp=sharing"",""พะเยา!I442"")"),22)</f>
        <v>22</v>
      </c>
      <c r="J547" s="188">
        <f ca="1">IFERROR(__xludf.DUMMYFUNCTION("IMPORTRANGE(""https://docs.google.com/spreadsheets/d/11923uPwbBZFjjGgGUA6NLw09EwE0CqkOc4q9oUmW1yo/edit?usp=sharing"",""พะเยา!J442"")"),22)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IFERROR(__xludf.DUMMYFUNCTION("IMPORTRANGE(""https://docs.google.com/spreadsheets/d/11923uPwbBZFjjGgGUA6NLw09EwE0CqkOc4q9oUmW1yo/edit?usp=sharing"",""พะเยา!J166"")"),0)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IFERROR(__xludf.DUMMYFUNCTION("IMPORTRANGE(""https://docs.google.com/spreadsheets/d/11923uPwbBZFjjGgGUA6NLw09EwE0CqkOc4q9oUmW1yo/edit?usp=sharing"",""พะเยา!J444"")"),0)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IFERROR(__xludf.DUMMYFUNCTION("IMPORTRANGE(""https://docs.google.com/spreadsheets/d/11923uPwbBZFjjGgGUA6NLw09EwE0CqkOc4q9oUmW1yo/edit?usp=sharing"",""พะเยา!J445"")"),0)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IFERROR(__xludf.DUMMYFUNCTION("IMPORTRANGE(""https://docs.google.com/spreadsheets/d/11923uPwbBZFjjGgGUA6NLw09EwE0CqkOc4q9oUmW1yo/edit?usp=sharing"",""พะเยา!I446"")"),0)</f>
        <v>0</v>
      </c>
      <c r="J551" s="409">
        <f ca="1">IFERROR(__xludf.DUMMYFUNCTION("IMPORTRANGE(""https://docs.google.com/spreadsheets/d/11923uPwbBZFjjGgGUA6NLw09EwE0CqkOc4q9oUmW1yo/edit?usp=sharing"",""พะเยา!J446"")"),0)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IFERROR(__xludf.DUMMYFUNCTION("IMPORTRANGE(""https://docs.google.com/spreadsheets/d/11923uPwbBZFjjGgGUA6NLw09EwE0CqkOc4q9oUmW1yo/edit?usp=sharing"",""พะเยา!L446"")"),0)</f>
        <v>0</v>
      </c>
      <c r="M551" s="411"/>
      <c r="N551" s="411">
        <f ca="1">IFERROR(__xludf.DUMMYFUNCTION("IMPORTRANGE(""https://docs.google.com/spreadsheets/d/11923uPwbBZFjjGgGUA6NLw09EwE0CqkOc4q9oUmW1yo/edit?usp=sharing"",""พะเยา!M446"")"),0)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IFERROR(__xludf.DUMMYFUNCTION("IMPORTRANGE(""https://docs.google.com/spreadsheets/d/11923uPwbBZFjjGgGUA6NLw09EwE0CqkOc4q9oUmW1yo/edit?usp=sharing"",""พะเยา!L447"")"),0)</f>
        <v>0</v>
      </c>
      <c r="M552" s="164"/>
      <c r="N552" s="168">
        <f ca="1">IFERROR(__xludf.DUMMYFUNCTION("IMPORTRANGE(""https://docs.google.com/spreadsheets/d/11923uPwbBZFjjGgGUA6NLw09EwE0CqkOc4q9oUmW1yo/edit?usp=sharing"",""พะเยา!M447"")"),0)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IFERROR(__xludf.DUMMYFUNCTION("IMPORTRANGE(""https://docs.google.com/spreadsheets/d/11923uPwbBZFjjGgGUA6NLw09EwE0CqkOc4q9oUmW1yo/edit?usp=sharing"",""พะเยา!L448"")"),0)</f>
        <v>0</v>
      </c>
      <c r="M553" s="165"/>
      <c r="N553" s="168">
        <f ca="1">IFERROR(__xludf.DUMMYFUNCTION("IMPORTRANGE(""https://docs.google.com/spreadsheets/d/11923uPwbBZFjjGgGUA6NLw09EwE0CqkOc4q9oUmW1yo/edit?usp=sharing"",""พะเยา!M448"")"),0)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IFERROR(__xludf.DUMMYFUNCTION("IMPORTRANGE(""https://docs.google.com/spreadsheets/d/11923uPwbBZFjjGgGUA6NLw09EwE0CqkOc4q9oUmW1yo/edit?usp=sharing"",""พะเยา!L449"")"),0)</f>
        <v>0</v>
      </c>
      <c r="M554" s="168"/>
      <c r="N554" s="168">
        <f ca="1">IFERROR(__xludf.DUMMYFUNCTION("IMPORTRANGE(""https://docs.google.com/spreadsheets/d/11923uPwbBZFjjGgGUA6NLw09EwE0CqkOc4q9oUmW1yo/edit?usp=sharing"",""พะเยา!M449"")"),0)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IFERROR(__xludf.DUMMYFUNCTION("IMPORTRANGE(""https://docs.google.com/spreadsheets/d/11923uPwbBZFjjGgGUA6NLw09EwE0CqkOc4q9oUmW1yo/edit?usp=sharing"",""พะเยา!L450"")"),0)</f>
        <v>0</v>
      </c>
      <c r="M555" s="168"/>
      <c r="N555" s="168">
        <f ca="1">IFERROR(__xludf.DUMMYFUNCTION("IMPORTRANGE(""https://docs.google.com/spreadsheets/d/11923uPwbBZFjjGgGUA6NLw09EwE0CqkOc4q9oUmW1yo/edit?usp=sharing"",""พะเยา!M450"")"),0)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IFERROR(__xludf.DUMMYFUNCTION("IMPORTRANGE(""https://docs.google.com/spreadsheets/d/11923uPwbBZFjjGgGUA6NLw09EwE0CqkOc4q9oUmW1yo/edit?usp=sharing"",""พะเยา!M451"")"),0)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IFERROR(__xludf.DUMMYFUNCTION("IMPORTRANGE(""https://docs.google.com/spreadsheets/d/11923uPwbBZFjjGgGUA6NLw09EwE0CqkOc4q9oUmW1yo/edit?usp=sharing"",""พะเยา!M452"")"),0)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IFERROR(__xludf.DUMMYFUNCTION("IMPORTRANGE(""https://docs.google.com/spreadsheets/d/11923uPwbBZFjjGgGUA6NLw09EwE0CqkOc4q9oUmW1yo/edit?usp=sharing"",""พะเยา!M453"")"),0)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IFERROR(__xludf.DUMMYFUNCTION("IMPORTRANGE(""https://docs.google.com/spreadsheets/d/11923uPwbBZFjjGgGUA6NLw09EwE0CqkOc4q9oUmW1yo/edit?usp=sharing"",""พะเยา!M454"")"),0)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IFERROR(__xludf.DUMMYFUNCTION("IMPORTRANGE(""https://docs.google.com/spreadsheets/d/11923uPwbBZFjjGgGUA6NLw09EwE0CqkOc4q9oUmW1yo/edit?usp=sharing"",""พะเยา!I455"")"),0)</f>
        <v>0</v>
      </c>
      <c r="J560" s="162">
        <f ca="1">IFERROR(__xludf.DUMMYFUNCTION("IMPORTRANGE(""https://docs.google.com/spreadsheets/d/11923uPwbBZFjjGgGUA6NLw09EwE0CqkOc4q9oUmW1yo/edit?usp=sharing"",""พะเยา!J455"")"),0)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IFERROR(__xludf.DUMMYFUNCTION("IMPORTRANGE(""https://docs.google.com/spreadsheets/d/11923uPwbBZFjjGgGUA6NLw09EwE0CqkOc4q9oUmW1yo/edit?usp=sharing"",""พะเยา!I456"")"),0)</f>
        <v>0</v>
      </c>
      <c r="J561" s="203">
        <f ca="1">IFERROR(__xludf.DUMMYFUNCTION("IMPORTRANGE(""https://docs.google.com/spreadsheets/d/11923uPwbBZFjjGgGUA6NLw09EwE0CqkOc4q9oUmW1yo/edit?usp=sharing"",""พะเยา!J456"")"),0)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IFERROR(__xludf.DUMMYFUNCTION("IMPORTRANGE(""https://docs.google.com/spreadsheets/d/11923uPwbBZFjjGgGUA6NLw09EwE0CqkOc4q9oUmW1yo/edit?usp=sharing"",""พะเยา!I459"")"),1950)</f>
        <v>1950</v>
      </c>
      <c r="J564" s="370">
        <f ca="1">IFERROR(__xludf.DUMMYFUNCTION("IMPORTRANGE(""https://docs.google.com/spreadsheets/d/11923uPwbBZFjjGgGUA6NLw09EwE0CqkOc4q9oUmW1yo/edit?usp=sharing"",""พะเยา!J459"")"),3543)</f>
        <v>3543</v>
      </c>
      <c r="K564" s="371">
        <f ca="1">IF(I564&gt;0,J564*100/I564,0)</f>
        <v>181.69230769230768</v>
      </c>
      <c r="L564" s="372">
        <f ca="1">IFERROR(__xludf.DUMMYFUNCTION("IMPORTRANGE(""https://docs.google.com/spreadsheets/d/11923uPwbBZFjjGgGUA6NLw09EwE0CqkOc4q9oUmW1yo/edit?usp=sharing"",""พะเยา!L459"")"),142240)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IFERROR(__xludf.DUMMYFUNCTION("IMPORTRANGE(""https://docs.google.com/spreadsheets/d/11923uPwbBZFjjGgGUA6NLw09EwE0CqkOc4q9oUmW1yo/edit?usp=sharing"",""พะเยา!M459"")"),86331)</f>
        <v>86331</v>
      </c>
      <c r="O564" s="372">
        <f t="shared" ref="O564:O568" ca="1" si="122">+IF(L564&gt;0,N564*100/L564,0)</f>
        <v>60.693897637795274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IFERROR(__xludf.DUMMYFUNCTION("IMPORTRANGE(""https://docs.google.com/spreadsheets/d/11923uPwbBZFjjGgGUA6NLw09EwE0CqkOc4q9oUmW1yo/edit?usp=sharing"",""พะเยา!L460"")"),0)</f>
        <v>0</v>
      </c>
      <c r="M565" s="164"/>
      <c r="N565" s="168">
        <f ca="1">IFERROR(__xludf.DUMMYFUNCTION("IMPORTRANGE(""https://docs.google.com/spreadsheets/d/11923uPwbBZFjjGgGUA6NLw09EwE0CqkOc4q9oUmW1yo/edit?usp=sharing"",""พะเยา!M460"")"),0)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IFERROR(__xludf.DUMMYFUNCTION("IMPORTRANGE(""https://docs.google.com/spreadsheets/d/11923uPwbBZFjjGgGUA6NLw09EwE0CqkOc4q9oUmW1yo/edit?usp=sharing"",""พะเยา!L461"")"),142240)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IFERROR(__xludf.DUMMYFUNCTION("IMPORTRANGE(""https://docs.google.com/spreadsheets/d/11923uPwbBZFjjGgGUA6NLw09EwE0CqkOc4q9oUmW1yo/edit?usp=sharing"",""พะเยา!M461"")"),86331)</f>
        <v>86331</v>
      </c>
      <c r="O566" s="168">
        <f t="shared" ca="1" si="122"/>
        <v>60.693897637795274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IFERROR(__xludf.DUMMYFUNCTION("IMPORTRANGE(""https://docs.google.com/spreadsheets/d/11923uPwbBZFjjGgGUA6NLw09EwE0CqkOc4q9oUmW1yo/edit?usp=sharing"",""พะเยา!L462"")"),0)</f>
        <v>0</v>
      </c>
      <c r="M567" s="168"/>
      <c r="N567" s="168">
        <f ca="1">IFERROR(__xludf.DUMMYFUNCTION("IMPORTRANGE(""https://docs.google.com/spreadsheets/d/11923uPwbBZFjjGgGUA6NLw09EwE0CqkOc4q9oUmW1yo/edit?usp=sharing"",""พะเยา!M462"")"),0)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IFERROR(__xludf.DUMMYFUNCTION("IMPORTRANGE(""https://docs.google.com/spreadsheets/d/11923uPwbBZFjjGgGUA6NLw09EwE0CqkOc4q9oUmW1yo/edit?usp=sharing"",""พะเยา!L463"")"),142240)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IFERROR(__xludf.DUMMYFUNCTION("IMPORTRANGE(""https://docs.google.com/spreadsheets/d/11923uPwbBZFjjGgGUA6NLw09EwE0CqkOc4q9oUmW1yo/edit?usp=sharing"",""พะเยา!M463"")"),86331)</f>
        <v>86331</v>
      </c>
      <c r="O568" s="168">
        <f t="shared" ca="1" si="122"/>
        <v>60.693897637795274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IFERROR(__xludf.DUMMYFUNCTION("IMPORTRANGE(""https://docs.google.com/spreadsheets/d/11923uPwbBZFjjGgGUA6NLw09EwE0CqkOc4q9oUmW1yo/edit?usp=sharing"",""พะเยา!M464"")"),0)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IFERROR(__xludf.DUMMYFUNCTION("IMPORTRANGE(""https://docs.google.com/spreadsheets/d/11923uPwbBZFjjGgGUA6NLw09EwE0CqkOc4q9oUmW1yo/edit?usp=sharing"",""พะเยา!M465"")"),0)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IFERROR(__xludf.DUMMYFUNCTION("IMPORTRANGE(""https://docs.google.com/spreadsheets/d/11923uPwbBZFjjGgGUA6NLw09EwE0CqkOc4q9oUmW1yo/edit?usp=sharing"",""พะเยา!M466"")"),53899)</f>
        <v>53899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IFERROR(__xludf.DUMMYFUNCTION("IMPORTRANGE(""https://docs.google.com/spreadsheets/d/11923uPwbBZFjjGgGUA6NLw09EwE0CqkOc4q9oUmW1yo/edit?usp=sharing"",""พะเยา!M467"")"),32432)</f>
        <v>32432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IFERROR(__xludf.DUMMYFUNCTION("IMPORTRANGE(""https://docs.google.com/spreadsheets/d/11923uPwbBZFjjGgGUA6NLw09EwE0CqkOc4q9oUmW1yo/edit?usp=sharing"",""พะเยา!I468"")"),1950)</f>
        <v>1950</v>
      </c>
      <c r="J573" s="420">
        <f ca="1">IFERROR(__xludf.DUMMYFUNCTION("IMPORTRANGE(""https://docs.google.com/spreadsheets/d/11923uPwbBZFjjGgGUA6NLw09EwE0CqkOc4q9oUmW1yo/edit?usp=sharing"",""พะเยา!J468"")"),3543)</f>
        <v>3543</v>
      </c>
      <c r="K573" s="201">
        <f ca="1">IF(I573&gt;0,J573*100/I573,0)</f>
        <v>181.69230769230768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IFERROR(__xludf.DUMMYFUNCTION("IMPORTRANGE(""https://docs.google.com/spreadsheets/d/11923uPwbBZFjjGgGUA6NLw09EwE0CqkOc4q9oUmW1yo/edit?usp=sharing"",""พะเยา!I470"")"),0)</f>
        <v>0</v>
      </c>
      <c r="J575" s="197">
        <f ca="1">IFERROR(__xludf.DUMMYFUNCTION("IMPORTRANGE(""https://docs.google.com/spreadsheets/d/11923uPwbBZFjjGgGUA6NLw09EwE0CqkOc4q9oUmW1yo/edit?usp=sharing"",""พะเยา!J470"")"),4)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IFERROR(__xludf.DUMMYFUNCTION("IMPORTRANGE(""https://docs.google.com/spreadsheets/d/11923uPwbBZFjjGgGUA6NLw09EwE0CqkOc4q9oUmW1yo/edit?usp=sharing"",""พะเยา!I471"")"),0)</f>
        <v>0</v>
      </c>
      <c r="J576" s="197">
        <f ca="1">IFERROR(__xludf.DUMMYFUNCTION("IMPORTRANGE(""https://docs.google.com/spreadsheets/d/11923uPwbBZFjjGgGUA6NLw09EwE0CqkOc4q9oUmW1yo/edit?usp=sharing"",""พะเยา!J471"")"),494)</f>
        <v>494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IFERROR(__xludf.DUMMYFUNCTION("IMPORTRANGE(""https://docs.google.com/spreadsheets/d/11923uPwbBZFjjGgGUA6NLw09EwE0CqkOc4q9oUmW1yo/edit?usp=sharing"",""พะเยา!I472"")"),0)</f>
        <v>0</v>
      </c>
      <c r="J577" s="188">
        <f ca="1">IFERROR(__xludf.DUMMYFUNCTION("IMPORTRANGE(""https://docs.google.com/spreadsheets/d/11923uPwbBZFjjGgGUA6NLw09EwE0CqkOc4q9oUmW1yo/edit?usp=sharing"",""พะเยา!J472"")"),3049)</f>
        <v>3049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IFERROR(__xludf.DUMMYFUNCTION("IMPORTRANGE(""https://docs.google.com/spreadsheets/d/11923uPwbBZFjjGgGUA6NLw09EwE0CqkOc4q9oUmW1yo/edit?usp=sharing"",""พะเยา!I473"")"),0)</f>
        <v>0</v>
      </c>
      <c r="J578" s="197">
        <f ca="1">IFERROR(__xludf.DUMMYFUNCTION("IMPORTRANGE(""https://docs.google.com/spreadsheets/d/11923uPwbBZFjjGgGUA6NLw09EwE0CqkOc4q9oUmW1yo/edit?usp=sharing"",""พะเยา!J473"")"),0)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IFERROR(__xludf.DUMMYFUNCTION("IMPORTRANGE(""https://docs.google.com/spreadsheets/d/11923uPwbBZFjjGgGUA6NLw09EwE0CqkOc4q9oUmW1yo/edit?usp=sharing"",""พะเยา!I474"")"),0)</f>
        <v>0</v>
      </c>
      <c r="J579" s="197">
        <f ca="1">IFERROR(__xludf.DUMMYFUNCTION("IMPORTRANGE(""https://docs.google.com/spreadsheets/d/11923uPwbBZFjjGgGUA6NLw09EwE0CqkOc4q9oUmW1yo/edit?usp=sharing"",""พะเยา!J474"")"),0)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IFERROR(__xludf.DUMMYFUNCTION("IMPORTRANGE(""https://docs.google.com/spreadsheets/d/11923uPwbBZFjjGgGUA6NLw09EwE0CqkOc4q9oUmW1yo/edit?usp=sharing"",""พะเยา!I475"")"),40)</f>
        <v>40</v>
      </c>
      <c r="J580" s="370">
        <f ca="1">IFERROR(__xludf.DUMMYFUNCTION("IMPORTRANGE(""https://docs.google.com/spreadsheets/d/11923uPwbBZFjjGgGUA6NLw09EwE0CqkOc4q9oUmW1yo/edit?usp=sharing"",""พะเยา!J475"")"),18)</f>
        <v>18</v>
      </c>
      <c r="K580" s="371">
        <f ca="1">IF(I580&gt;0,J580*100/I580,0)</f>
        <v>45</v>
      </c>
      <c r="L580" s="372">
        <f ca="1">IFERROR(__xludf.DUMMYFUNCTION("IMPORTRANGE(""https://docs.google.com/spreadsheets/d/11923uPwbBZFjjGgGUA6NLw09EwE0CqkOc4q9oUmW1yo/edit?usp=sharing"",""พะเยา!L475"")"),138840)</f>
        <v>138840</v>
      </c>
      <c r="M580" s="372"/>
      <c r="N580" s="372">
        <f ca="1">IFERROR(__xludf.DUMMYFUNCTION("IMPORTRANGE(""https://docs.google.com/spreadsheets/d/11923uPwbBZFjjGgGUA6NLw09EwE0CqkOc4q9oUmW1yo/edit?usp=sharing"",""พะเยา!M475"")"),16060)</f>
        <v>16060</v>
      </c>
      <c r="O580" s="372">
        <f t="shared" ref="O580:O584" ca="1" si="124">+IF(L580&gt;0,N580*100/L580,0)</f>
        <v>11.567271679631229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IFERROR(__xludf.DUMMYFUNCTION("IMPORTRANGE(""https://docs.google.com/spreadsheets/d/11923uPwbBZFjjGgGUA6NLw09EwE0CqkOc4q9oUmW1yo/edit?usp=sharing"",""พะเยา!L476"")"),0)</f>
        <v>0</v>
      </c>
      <c r="M581" s="164"/>
      <c r="N581" s="168">
        <f ca="1">IFERROR(__xludf.DUMMYFUNCTION("IMPORTRANGE(""https://docs.google.com/spreadsheets/d/11923uPwbBZFjjGgGUA6NLw09EwE0CqkOc4q9oUmW1yo/edit?usp=sharing"",""พะเยา!M476"")"),0)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IFERROR(__xludf.DUMMYFUNCTION("IMPORTRANGE(""https://docs.google.com/spreadsheets/d/11923uPwbBZFjjGgGUA6NLw09EwE0CqkOc4q9oUmW1yo/edit?usp=sharing"",""พะเยา!L477"")"),138840)</f>
        <v>138840</v>
      </c>
      <c r="M582" s="165"/>
      <c r="N582" s="168">
        <f ca="1">IFERROR(__xludf.DUMMYFUNCTION("IMPORTRANGE(""https://docs.google.com/spreadsheets/d/11923uPwbBZFjjGgGUA6NLw09EwE0CqkOc4q9oUmW1yo/edit?usp=sharing"",""พะเยา!M477"")"),16060)</f>
        <v>16060</v>
      </c>
      <c r="O582" s="168">
        <f t="shared" ca="1" si="124"/>
        <v>11.567271679631229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IFERROR(__xludf.DUMMYFUNCTION("IMPORTRANGE(""https://docs.google.com/spreadsheets/d/11923uPwbBZFjjGgGUA6NLw09EwE0CqkOc4q9oUmW1yo/edit?usp=sharing"",""พะเยา!L478"")"),0)</f>
        <v>0</v>
      </c>
      <c r="M583" s="168"/>
      <c r="N583" s="168">
        <f ca="1">IFERROR(__xludf.DUMMYFUNCTION("IMPORTRANGE(""https://docs.google.com/spreadsheets/d/11923uPwbBZFjjGgGUA6NLw09EwE0CqkOc4q9oUmW1yo/edit?usp=sharing"",""พะเยา!M478"")"),0)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IFERROR(__xludf.DUMMYFUNCTION("IMPORTRANGE(""https://docs.google.com/spreadsheets/d/11923uPwbBZFjjGgGUA6NLw09EwE0CqkOc4q9oUmW1yo/edit?usp=sharing"",""พะเยา!L479"")"),138840)</f>
        <v>138840</v>
      </c>
      <c r="M584" s="168"/>
      <c r="N584" s="168">
        <f ca="1">IFERROR(__xludf.DUMMYFUNCTION("IMPORTRANGE(""https://docs.google.com/spreadsheets/d/11923uPwbBZFjjGgGUA6NLw09EwE0CqkOc4q9oUmW1yo/edit?usp=sharing"",""พะเยา!M479"")"),16060)</f>
        <v>16060</v>
      </c>
      <c r="O584" s="168">
        <f t="shared" ca="1" si="124"/>
        <v>11.567271679631229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IFERROR(__xludf.DUMMYFUNCTION("IMPORTRANGE(""https://docs.google.com/spreadsheets/d/11923uPwbBZFjjGgGUA6NLw09EwE0CqkOc4q9oUmW1yo/edit?usp=sharing"",""พะเยา!M480"")"),0)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IFERROR(__xludf.DUMMYFUNCTION("IMPORTRANGE(""https://docs.google.com/spreadsheets/d/11923uPwbBZFjjGgGUA6NLw09EwE0CqkOc4q9oUmW1yo/edit?usp=sharing"",""พะเยา!M481"")"),0)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IFERROR(__xludf.DUMMYFUNCTION("IMPORTRANGE(""https://docs.google.com/spreadsheets/d/11923uPwbBZFjjGgGUA6NLw09EwE0CqkOc4q9oUmW1yo/edit?usp=sharing"",""พะเยา!M482"")"),0)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IFERROR(__xludf.DUMMYFUNCTION("IMPORTRANGE(""https://docs.google.com/spreadsheets/d/11923uPwbBZFjjGgGUA6NLw09EwE0CqkOc4q9oUmW1yo/edit?usp=sharing"",""พะเยา!M483"")"),16060)</f>
        <v>16060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IFERROR(__xludf.DUMMYFUNCTION("IMPORTRANGE(""https://docs.google.com/spreadsheets/d/11923uPwbBZFjjGgGUA6NLw09EwE0CqkOc4q9oUmW1yo/edit?usp=sharing"",""พะเยา!I484"")"),40)</f>
        <v>40</v>
      </c>
      <c r="J589" s="187">
        <f ca="1">IFERROR(__xludf.DUMMYFUNCTION("IMPORTRANGE(""https://docs.google.com/spreadsheets/d/11923uPwbBZFjjGgGUA6NLw09EwE0CqkOc4q9oUmW1yo/edit?usp=sharing"",""พะเยา!J484"")"),52)</f>
        <v>52</v>
      </c>
      <c r="K589" s="163">
        <f t="shared" ref="K589:K596" ca="1" si="125">IF(I589&gt;0,J589*100/I589,0)</f>
        <v>130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IFERROR(__xludf.DUMMYFUNCTION("IMPORTRANGE(""https://docs.google.com/spreadsheets/d/11923uPwbBZFjjGgGUA6NLw09EwE0CqkOc4q9oUmW1yo/edit?usp=sharing"",""พะเยา!I485"")"),0)</f>
        <v>0</v>
      </c>
      <c r="J590" s="187">
        <f ca="1">IFERROR(__xludf.DUMMYFUNCTION("IMPORTRANGE(""https://docs.google.com/spreadsheets/d/11923uPwbBZFjjGgGUA6NLw09EwE0CqkOc4q9oUmW1yo/edit?usp=sharing"",""พะเยา!J485"")"),22.1)</f>
        <v>22.1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IFERROR(__xludf.DUMMYFUNCTION("IMPORTRANGE(""https://docs.google.com/spreadsheets/d/11923uPwbBZFjjGgGUA6NLw09EwE0CqkOc4q9oUmW1yo/edit?usp=sharing"",""พะเยา!I486"")"),40)</f>
        <v>40</v>
      </c>
      <c r="J591" s="187">
        <f ca="1">IFERROR(__xludf.DUMMYFUNCTION("IMPORTRANGE(""https://docs.google.com/spreadsheets/d/11923uPwbBZFjjGgGUA6NLw09EwE0CqkOc4q9oUmW1yo/edit?usp=sharing"",""พะเยา!J486"")"),16)</f>
        <v>16</v>
      </c>
      <c r="K591" s="163">
        <f t="shared" ca="1" si="125"/>
        <v>40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IFERROR(__xludf.DUMMYFUNCTION("IMPORTRANGE(""https://docs.google.com/spreadsheets/d/11923uPwbBZFjjGgGUA6NLw09EwE0CqkOc4q9oUmW1yo/edit?usp=sharing"",""พะเยา!I487"")"),0)</f>
        <v>0</v>
      </c>
      <c r="J592" s="187">
        <f ca="1">IFERROR(__xludf.DUMMYFUNCTION("IMPORTRANGE(""https://docs.google.com/spreadsheets/d/11923uPwbBZFjjGgGUA6NLw09EwE0CqkOc4q9oUmW1yo/edit?usp=sharing"",""พะเยา!J487"")"),8.17)</f>
        <v>8.17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IFERROR(__xludf.DUMMYFUNCTION("IMPORTRANGE(""https://docs.google.com/spreadsheets/d/11923uPwbBZFjjGgGUA6NLw09EwE0CqkOc4q9oUmW1yo/edit?usp=sharing"",""พะเยา!I488"")"),40)</f>
        <v>40</v>
      </c>
      <c r="J593" s="187">
        <f ca="1">IFERROR(__xludf.DUMMYFUNCTION("IMPORTRANGE(""https://docs.google.com/spreadsheets/d/11923uPwbBZFjjGgGUA6NLw09EwE0CqkOc4q9oUmW1yo/edit?usp=sharing"",""พะเยา!J488"")"),1)</f>
        <v>1</v>
      </c>
      <c r="K593" s="163">
        <f t="shared" ca="1" si="125"/>
        <v>2.5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IFERROR(__xludf.DUMMYFUNCTION("IMPORTRANGE(""https://docs.google.com/spreadsheets/d/11923uPwbBZFjjGgGUA6NLw09EwE0CqkOc4q9oUmW1yo/edit?usp=sharing"",""พะเยา!I489"")"),0)</f>
        <v>0</v>
      </c>
      <c r="J594" s="187">
        <f ca="1">IFERROR(__xludf.DUMMYFUNCTION("IMPORTRANGE(""https://docs.google.com/spreadsheets/d/11923uPwbBZFjjGgGUA6NLw09EwE0CqkOc4q9oUmW1yo/edit?usp=sharing"",""พะเยา!J489"")"),0.31)</f>
        <v>0.31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IFERROR(__xludf.DUMMYFUNCTION("IMPORTRANGE(""https://docs.google.com/spreadsheets/d/11923uPwbBZFjjGgGUA6NLw09EwE0CqkOc4q9oUmW1yo/edit?usp=sharing"",""พะเยา!I490"")"),40)</f>
        <v>40</v>
      </c>
      <c r="J595" s="187">
        <f ca="1">IFERROR(__xludf.DUMMYFUNCTION("IMPORTRANGE(""https://docs.google.com/spreadsheets/d/11923uPwbBZFjjGgGUA6NLw09EwE0CqkOc4q9oUmW1yo/edit?usp=sharing"",""พะเยา!J490"")"),18)</f>
        <v>18</v>
      </c>
      <c r="K595" s="163">
        <f t="shared" ca="1" si="125"/>
        <v>45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IFERROR(__xludf.DUMMYFUNCTION("IMPORTRANGE(""https://docs.google.com/spreadsheets/d/11923uPwbBZFjjGgGUA6NLw09EwE0CqkOc4q9oUmW1yo/edit?usp=sharing"",""พะเยา!I491"")"),0)</f>
        <v>0</v>
      </c>
      <c r="J596" s="241">
        <f ca="1">IFERROR(__xludf.DUMMYFUNCTION("IMPORTRANGE(""https://docs.google.com/spreadsheets/d/11923uPwbBZFjjGgGUA6NLw09EwE0CqkOc4q9oUmW1yo/edit?usp=sharing"",""พะเยา!J491"")"),8.76)</f>
        <v>8.76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IFERROR(__xludf.DUMMYFUNCTION("IMPORTRANGE(""https://docs.google.com/spreadsheets/d/11923uPwbBZFjjGgGUA6NLw09EwE0CqkOc4q9oUmW1yo/edit?usp=sharing"",""พะเยา!I492"")"),150)</f>
        <v>150</v>
      </c>
      <c r="J597" s="488">
        <f ca="1">IFERROR(__xludf.DUMMYFUNCTION("IMPORTRANGE(""https://docs.google.com/spreadsheets/d/11923uPwbBZFjjGgGUA6NLw09EwE0CqkOc4q9oUmW1yo/edit?usp=sharing"",""พะเยา!J492"")"),0)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IFERROR(__xludf.DUMMYFUNCTION("IMPORTRANGE(""https://docs.google.com/spreadsheets/d/11923uPwbBZFjjGgGUA6NLw09EwE0CqkOc4q9oUmW1yo/edit?usp=sharing"",""พะเยา!L492"")"),14050)</f>
        <v>14050</v>
      </c>
      <c r="M597" s="411"/>
      <c r="N597" s="411">
        <f ca="1">IFERROR(__xludf.DUMMYFUNCTION("IMPORTRANGE(""https://docs.google.com/spreadsheets/d/11923uPwbBZFjjGgGUA6NLw09EwE0CqkOc4q9oUmW1yo/edit?usp=sharing"",""พะเยา!M492"")"),2100)</f>
        <v>2100</v>
      </c>
      <c r="O597" s="411">
        <f t="shared" ref="O597:O601" ca="1" si="126">+IF(L597&gt;0,N597*100/L597,0)</f>
        <v>14.946619217081851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IFERROR(__xludf.DUMMYFUNCTION("IMPORTRANGE(""https://docs.google.com/spreadsheets/d/11923uPwbBZFjjGgGUA6NLw09EwE0CqkOc4q9oUmW1yo/edit?usp=sharing"",""พะเยา!L493"")"),0)</f>
        <v>0</v>
      </c>
      <c r="M598" s="164"/>
      <c r="N598" s="168">
        <f ca="1">IFERROR(__xludf.DUMMYFUNCTION("IMPORTRANGE(""https://docs.google.com/spreadsheets/d/11923uPwbBZFjjGgGUA6NLw09EwE0CqkOc4q9oUmW1yo/edit?usp=sharing"",""พะเยา!M493"")"),0)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IFERROR(__xludf.DUMMYFUNCTION("IMPORTRANGE(""https://docs.google.com/spreadsheets/d/11923uPwbBZFjjGgGUA6NLw09EwE0CqkOc4q9oUmW1yo/edit?usp=sharing"",""พะเยา!L494"")"),14050)</f>
        <v>14050</v>
      </c>
      <c r="M599" s="165"/>
      <c r="N599" s="168">
        <f ca="1">IFERROR(__xludf.DUMMYFUNCTION("IMPORTRANGE(""https://docs.google.com/spreadsheets/d/11923uPwbBZFjjGgGUA6NLw09EwE0CqkOc4q9oUmW1yo/edit?usp=sharing"",""พะเยา!M494"")"),2100)</f>
        <v>2100</v>
      </c>
      <c r="O599" s="168">
        <f t="shared" ca="1" si="126"/>
        <v>14.946619217081851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IFERROR(__xludf.DUMMYFUNCTION("IMPORTRANGE(""https://docs.google.com/spreadsheets/d/11923uPwbBZFjjGgGUA6NLw09EwE0CqkOc4q9oUmW1yo/edit?usp=sharing"",""พะเยา!L495"")"),0)</f>
        <v>0</v>
      </c>
      <c r="M600" s="168"/>
      <c r="N600" s="168">
        <f ca="1">IFERROR(__xludf.DUMMYFUNCTION("IMPORTRANGE(""https://docs.google.com/spreadsheets/d/11923uPwbBZFjjGgGUA6NLw09EwE0CqkOc4q9oUmW1yo/edit?usp=sharing"",""พะเยา!M495"")"),0)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IFERROR(__xludf.DUMMYFUNCTION("IMPORTRANGE(""https://docs.google.com/spreadsheets/d/11923uPwbBZFjjGgGUA6NLw09EwE0CqkOc4q9oUmW1yo/edit?usp=sharing"",""พะเยา!L496"")"),14050)</f>
        <v>14050</v>
      </c>
      <c r="M601" s="168"/>
      <c r="N601" s="168">
        <f ca="1">IFERROR(__xludf.DUMMYFUNCTION("IMPORTRANGE(""https://docs.google.com/spreadsheets/d/11923uPwbBZFjjGgGUA6NLw09EwE0CqkOc4q9oUmW1yo/edit?usp=sharing"",""พะเยา!M496"")"),2100)</f>
        <v>2100</v>
      </c>
      <c r="O601" s="168">
        <f t="shared" ca="1" si="126"/>
        <v>14.946619217081851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IFERROR(__xludf.DUMMYFUNCTION("IMPORTRANGE(""https://docs.google.com/spreadsheets/d/11923uPwbBZFjjGgGUA6NLw09EwE0CqkOc4q9oUmW1yo/edit?usp=sharing"",""พะเยา!M497"")"),0)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IFERROR(__xludf.DUMMYFUNCTION("IMPORTRANGE(""https://docs.google.com/spreadsheets/d/11923uPwbBZFjjGgGUA6NLw09EwE0CqkOc4q9oUmW1yo/edit?usp=sharing"",""พะเยา!M498"")"),0)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IFERROR(__xludf.DUMMYFUNCTION("IMPORTRANGE(""https://docs.google.com/spreadsheets/d/11923uPwbBZFjjGgGUA6NLw09EwE0CqkOc4q9oUmW1yo/edit?usp=sharing"",""พะเยา!M499"")"),0)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IFERROR(__xludf.DUMMYFUNCTION("IMPORTRANGE(""https://docs.google.com/spreadsheets/d/11923uPwbBZFjjGgGUA6NLw09EwE0CqkOc4q9oUmW1yo/edit?usp=sharing"",""พะเยา!M500"")"),2100)</f>
        <v>2100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IFERROR(__xludf.DUMMYFUNCTION("IMPORTRANGE(""https://docs.google.com/spreadsheets/d/11923uPwbBZFjjGgGUA6NLw09EwE0CqkOc4q9oUmW1yo/edit?usp=sharing"",""พะเยา!J502"")"),0)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IFERROR(__xludf.DUMMYFUNCTION("IMPORTRANGE(""https://docs.google.com/spreadsheets/d/11923uPwbBZFjjGgGUA6NLw09EwE0CqkOc4q9oUmW1yo/edit?usp=sharing"",""พะเยา!J503"")"),1)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IFERROR(__xludf.DUMMYFUNCTION("IMPORTRANGE(""https://docs.google.com/spreadsheets/d/11923uPwbBZFjjGgGUA6NLw09EwE0CqkOc4q9oUmW1yo/edit?usp=sharing"",""พะเยา!J166"")"),0)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IFERROR(__xludf.DUMMYFUNCTION("IMPORTRANGE(""https://docs.google.com/spreadsheets/d/11923uPwbBZFjjGgGUA6NLw09EwE0CqkOc4q9oUmW1yo/edit?usp=sharing"",""พะเยา!J166"")"),0)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IFERROR(__xludf.DUMMYFUNCTION("IMPORTRANGE(""https://docs.google.com/spreadsheets/d/11923uPwbBZFjjGgGUA6NLw09EwE0CqkOc4q9oUmW1yo/edit?usp=sharing"",""พะเยา!I506"")"),150)</f>
        <v>150</v>
      </c>
      <c r="J611" s="162">
        <f ca="1">IFERROR(__xludf.DUMMYFUNCTION("IMPORTRANGE(""https://docs.google.com/spreadsheets/d/11923uPwbBZFjjGgGUA6NLw09EwE0CqkOc4q9oUmW1yo/edit?usp=sharing"",""พะเยา!J506"")"),0)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IFERROR(__xludf.DUMMYFUNCTION("IMPORTRANGE(""https://docs.google.com/spreadsheets/d/11923uPwbBZFjjGgGUA6NLw09EwE0CqkOc4q9oUmW1yo/edit?usp=sharing"",""พะเยา!I507"")"),0)</f>
        <v>0</v>
      </c>
      <c r="J612" s="197">
        <f ca="1">IFERROR(__xludf.DUMMYFUNCTION("IMPORTRANGE(""https://docs.google.com/spreadsheets/d/11923uPwbBZFjjGgGUA6NLw09EwE0CqkOc4q9oUmW1yo/edit?usp=sharing"",""พะเยา!J507"")"),0)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IFERROR(__xludf.DUMMYFUNCTION("IMPORTRANGE(""https://docs.google.com/spreadsheets/d/11923uPwbBZFjjGgGUA6NLw09EwE0CqkOc4q9oUmW1yo/edit?usp=sharing"",""พะเยา!I508"")"),0)</f>
        <v>0</v>
      </c>
      <c r="J613" s="197">
        <f ca="1">IFERROR(__xludf.DUMMYFUNCTION("IMPORTRANGE(""https://docs.google.com/spreadsheets/d/11923uPwbBZFjjGgGUA6NLw09EwE0CqkOc4q9oUmW1yo/edit?usp=sharing"",""พะเยา!J508"")"),0)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IFERROR(__xludf.DUMMYFUNCTION("IMPORTRANGE(""https://docs.google.com/spreadsheets/d/11923uPwbBZFjjGgGUA6NLw09EwE0CqkOc4q9oUmW1yo/edit?usp=sharing"",""พะเยา!I509"")"),0)</f>
        <v>0</v>
      </c>
      <c r="J614" s="197">
        <f ca="1">IFERROR(__xludf.DUMMYFUNCTION("IMPORTRANGE(""https://docs.google.com/spreadsheets/d/11923uPwbBZFjjGgGUA6NLw09EwE0CqkOc4q9oUmW1yo/edit?usp=sharing"",""พะเยา!J509"")"),0)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IFERROR(__xludf.DUMMYFUNCTION("IMPORTRANGE(""https://docs.google.com/spreadsheets/d/11923uPwbBZFjjGgGUA6NLw09EwE0CqkOc4q9oUmW1yo/edit?usp=sharing"",""พะเยา!I510"")"),0)</f>
        <v>0</v>
      </c>
      <c r="J615" s="197">
        <f ca="1">IFERROR(__xludf.DUMMYFUNCTION("IMPORTRANGE(""https://docs.google.com/spreadsheets/d/11923uPwbBZFjjGgGUA6NLw09EwE0CqkOc4q9oUmW1yo/edit?usp=sharing"",""พะเยา!J510"")"),0)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IFERROR(__xludf.DUMMYFUNCTION("IMPORTRANGE(""https://docs.google.com/spreadsheets/d/11923uPwbBZFjjGgGUA6NLw09EwE0CqkOc4q9oUmW1yo/edit?usp=sharing"",""พะเยา!I511"")"),0)</f>
        <v>0</v>
      </c>
      <c r="J616" s="197">
        <f ca="1">IFERROR(__xludf.DUMMYFUNCTION("IMPORTRANGE(""https://docs.google.com/spreadsheets/d/11923uPwbBZFjjGgGUA6NLw09EwE0CqkOc4q9oUmW1yo/edit?usp=sharing"",""พะเยา!J511"")"),0)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IFERROR(__xludf.DUMMYFUNCTION("IMPORTRANGE(""https://docs.google.com/spreadsheets/d/11923uPwbBZFjjGgGUA6NLw09EwE0CqkOc4q9oUmW1yo/edit?usp=sharing"",""พะเยา!I512"")"),0)</f>
        <v>0</v>
      </c>
      <c r="J617" s="187">
        <f ca="1">IFERROR(__xludf.DUMMYFUNCTION("IMPORTRANGE(""https://docs.google.com/spreadsheets/d/11923uPwbBZFjjGgGUA6NLw09EwE0CqkOc4q9oUmW1yo/edit?usp=sharing"",""พะเยา!J512"")"),0)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IFERROR(__xludf.DUMMYFUNCTION("IMPORTRANGE(""https://docs.google.com/spreadsheets/d/11923uPwbBZFjjGgGUA6NLw09EwE0CqkOc4q9oUmW1yo/edit?usp=sharing"",""พะเยา!I513"")"),0)</f>
        <v>0</v>
      </c>
      <c r="J618" s="188">
        <f ca="1">IFERROR(__xludf.DUMMYFUNCTION("IMPORTRANGE(""https://docs.google.com/spreadsheets/d/11923uPwbBZFjjGgGUA6NLw09EwE0CqkOc4q9oUmW1yo/edit?usp=sharing"",""พะเยา!J513"")"),0)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IFERROR(__xludf.DUMMYFUNCTION("IMPORTRANGE(""https://docs.google.com/spreadsheets/d/11923uPwbBZFjjGgGUA6NLw09EwE0CqkOc4q9oUmW1yo/edit?usp=sharing"",""พะเยา!I514"")"),0)</f>
        <v>0</v>
      </c>
      <c r="J619" s="188">
        <f ca="1">IFERROR(__xludf.DUMMYFUNCTION("IMPORTRANGE(""https://docs.google.com/spreadsheets/d/11923uPwbBZFjjGgGUA6NLw09EwE0CqkOc4q9oUmW1yo/edit?usp=sharing"",""พะเยา!J514"")"),0)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IFERROR(__xludf.DUMMYFUNCTION("IMPORTRANGE(""https://docs.google.com/spreadsheets/d/11923uPwbBZFjjGgGUA6NLw09EwE0CqkOc4q9oUmW1yo/edit?usp=sharing"",""พะเยา!I515"")"),0)</f>
        <v>0</v>
      </c>
      <c r="J620" s="202">
        <f ca="1">IFERROR(__xludf.DUMMYFUNCTION("IMPORTRANGE(""https://docs.google.com/spreadsheets/d/11923uPwbBZFjjGgGUA6NLw09EwE0CqkOc4q9oUmW1yo/edit?usp=sharing"",""พะเยา!J515"")"),0)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IFERROR(__xludf.DUMMYFUNCTION("IMPORTRANGE(""https://docs.google.com/spreadsheets/d/11923uPwbBZFjjGgGUA6NLw09EwE0CqkOc4q9oUmW1yo/edit?usp=sharing"",""พะเยา!I516"")"),0)</f>
        <v>0</v>
      </c>
      <c r="J621" s="202">
        <f ca="1">IFERROR(__xludf.DUMMYFUNCTION("IMPORTRANGE(""https://docs.google.com/spreadsheets/d/11923uPwbBZFjjGgGUA6NLw09EwE0CqkOc4q9oUmW1yo/edit?usp=sharing"",""พะเยา!J516"")"),0)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IFERROR(__xludf.DUMMYFUNCTION("IMPORTRANGE(""https://docs.google.com/spreadsheets/d/11923uPwbBZFjjGgGUA6NLw09EwE0CqkOc4q9oUmW1yo/edit?usp=sharing"",""พะเยา!I517"")"),0)</f>
        <v>0</v>
      </c>
      <c r="J622" s="188">
        <f ca="1">IFERROR(__xludf.DUMMYFUNCTION("IMPORTRANGE(""https://docs.google.com/spreadsheets/d/11923uPwbBZFjjGgGUA6NLw09EwE0CqkOc4q9oUmW1yo/edit?usp=sharing"",""พะเยา!J517"")"),0)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IFERROR(__xludf.DUMMYFUNCTION("IMPORTRANGE(""https://docs.google.com/spreadsheets/d/11923uPwbBZFjjGgGUA6NLw09EwE0CqkOc4q9oUmW1yo/edit?usp=sharing"",""พะเยา!I518"")"),0)</f>
        <v>0</v>
      </c>
      <c r="J623" s="188">
        <f ca="1">IFERROR(__xludf.DUMMYFUNCTION("IMPORTRANGE(""https://docs.google.com/spreadsheets/d/11923uPwbBZFjjGgGUA6NLw09EwE0CqkOc4q9oUmW1yo/edit?usp=sharing"",""พะเยา!J518"")"),0)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IFERROR(__xludf.DUMMYFUNCTION("IMPORTRANGE(""https://docs.google.com/spreadsheets/d/11923uPwbBZFjjGgGUA6NLw09EwE0CqkOc4q9oUmW1yo/edit?usp=sharing"",""พะเยา!I519"")"),0)</f>
        <v>0</v>
      </c>
      <c r="J624" s="187">
        <f ca="1">IFERROR(__xludf.DUMMYFUNCTION("IMPORTRANGE(""https://docs.google.com/spreadsheets/d/11923uPwbBZFjjGgGUA6NLw09EwE0CqkOc4q9oUmW1yo/edit?usp=sharing"",""พะเยา!J519"")"),0)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IFERROR(__xludf.DUMMYFUNCTION("IMPORTRANGE(""https://docs.google.com/spreadsheets/d/11923uPwbBZFjjGgGUA6NLw09EwE0CqkOc4q9oUmW1yo/edit?usp=sharing"",""พะเยา!I520"")"),0)</f>
        <v>0</v>
      </c>
      <c r="J625" s="188">
        <f ca="1">IFERROR(__xludf.DUMMYFUNCTION("IMPORTRANGE(""https://docs.google.com/spreadsheets/d/11923uPwbBZFjjGgGUA6NLw09EwE0CqkOc4q9oUmW1yo/edit?usp=sharing"",""พะเยา!J520"")"),0)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IFERROR(__xludf.DUMMYFUNCTION("IMPORTRANGE(""https://docs.google.com/spreadsheets/d/11923uPwbBZFjjGgGUA6NLw09EwE0CqkOc4q9oUmW1yo/edit?usp=sharing"",""พะเยา!I521"")"),0)</f>
        <v>0</v>
      </c>
      <c r="J626" s="188">
        <f ca="1">IFERROR(__xludf.DUMMYFUNCTION("IMPORTRANGE(""https://docs.google.com/spreadsheets/d/11923uPwbBZFjjGgGUA6NLw09EwE0CqkOc4q9oUmW1yo/edit?usp=sharing"",""พะเยา!J521"")"),0)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IFERROR(__xludf.DUMMYFUNCTION("IMPORTRANGE(""https://docs.google.com/spreadsheets/d/11923uPwbBZFjjGgGUA6NLw09EwE0CqkOc4q9oUmW1yo/edit?usp=sharing"",""พะเยา!I523"")"),4799661.59)</f>
        <v>4799661.59</v>
      </c>
      <c r="J628" s="341">
        <f ca="1">IFERROR(__xludf.DUMMYFUNCTION("IMPORTRANGE(""https://docs.google.com/spreadsheets/d/11923uPwbBZFjjGgGUA6NLw09EwE0CqkOc4q9oUmW1yo/edit?usp=sharing"",""พะเยา!J523"")"),3667854.98)</f>
        <v>3667854.98</v>
      </c>
      <c r="K628" s="342">
        <f t="shared" ref="K628:K635" ca="1" si="129">IF(I628&gt;0,J628*100/I628,0)</f>
        <v>76.419033117707784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IFERROR(__xludf.DUMMYFUNCTION("IMPORTRANGE(""https://docs.google.com/spreadsheets/d/11923uPwbBZFjjGgGUA6NLw09EwE0CqkOc4q9oUmW1yo/edit?usp=sharing"",""พะเยา!I524"")"),454)</f>
        <v>454</v>
      </c>
      <c r="J629" s="341">
        <f ca="1">IFERROR(__xludf.DUMMYFUNCTION("IMPORTRANGE(""https://docs.google.com/spreadsheets/d/11923uPwbBZFjjGgGUA6NLw09EwE0CqkOc4q9oUmW1yo/edit?usp=sharing"",""พะเยา!J524"")"),351)</f>
        <v>351</v>
      </c>
      <c r="K629" s="342">
        <f t="shared" ca="1" si="129"/>
        <v>77.312775330396477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41">
        <f ca="1">IFERROR(__xludf.DUMMYFUNCTION("IMPORTRANGE(""https://docs.google.com/spreadsheets/d/11923uPwbBZFjjGgGUA6NLw09EwE0CqkOc4q9oUmW1yo/edit?usp=sharing"",""พะเยา!J525"")"),599822.42)</f>
        <v>599822.42000000004</v>
      </c>
      <c r="K630" s="342">
        <f t="shared" ca="1" si="129"/>
        <v>6.0463992548937204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IFERROR(__xludf.DUMMYFUNCTION("IMPORTRANGE(""https://docs.google.com/spreadsheets/d/11923uPwbBZFjjGgGUA6NLw09EwE0CqkOc4q9oUmW1yo/edit?usp=sharing"",""พะเยา!I526"")"),332)</f>
        <v>332</v>
      </c>
      <c r="J631" s="341">
        <f ca="1">IFERROR(__xludf.DUMMYFUNCTION("IMPORTRANGE(""https://docs.google.com/spreadsheets/d/11923uPwbBZFjjGgGUA6NLw09EwE0CqkOc4q9oUmW1yo/edit?usp=sharing"",""พะเยา!J526"")"),97)</f>
        <v>97</v>
      </c>
      <c r="K631" s="342">
        <f t="shared" ca="1" si="129"/>
        <v>29.216867469879517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IFERROR(__xludf.DUMMYFUNCTION("IMPORTRANGE(""https://docs.google.com/spreadsheets/d/11923uPwbBZFjjGgGUA6NLw09EwE0CqkOc4q9oUmW1yo/edit?usp=sharing"",""พะเยา!I527"")"),61819.65)</f>
        <v>61819.65</v>
      </c>
      <c r="J632" s="341">
        <f ca="1">IFERROR(__xludf.DUMMYFUNCTION("IMPORTRANGE(""https://docs.google.com/spreadsheets/d/11923uPwbBZFjjGgGUA6NLw09EwE0CqkOc4q9oUmW1yo/edit?usp=sharing"",""พะเยา!J527"")"),2100)</f>
        <v>2100</v>
      </c>
      <c r="K632" s="342">
        <f t="shared" ca="1" si="129"/>
        <v>3.3969781452984606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IFERROR(__xludf.DUMMYFUNCTION("IMPORTRANGE(""https://docs.google.com/spreadsheets/d/11923uPwbBZFjjGgGUA6NLw09EwE0CqkOc4q9oUmW1yo/edit?usp=sharing"",""พะเยา!I528"")"),107)</f>
        <v>107</v>
      </c>
      <c r="J633" s="341">
        <f ca="1">IFERROR(__xludf.DUMMYFUNCTION("IMPORTRANGE(""https://docs.google.com/spreadsheets/d/11923uPwbBZFjjGgGUA6NLw09EwE0CqkOc4q9oUmW1yo/edit?usp=sharing"",""พะเยา!J528"")"),2)</f>
        <v>2</v>
      </c>
      <c r="K633" s="342">
        <f t="shared" ca="1" si="129"/>
        <v>1.8691588785046729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IFERROR(__xludf.DUMMYFUNCTION("IMPORTRANGE(""https://docs.google.com/spreadsheets/d/11923uPwbBZFjjGgGUA6NLw09EwE0CqkOc4q9oUmW1yo/edit?usp=sharing"",""พะเยา!I529"")"),6000000)</f>
        <v>6000000</v>
      </c>
      <c r="J634" s="341">
        <f ca="1">IFERROR(__xludf.DUMMYFUNCTION("IMPORTRANGE(""https://docs.google.com/spreadsheets/d/11923uPwbBZFjjGgGUA6NLw09EwE0CqkOc4q9oUmW1yo/edit?usp=sharing"",""พะเยา!J529"")"),4730000)</f>
        <v>4730000</v>
      </c>
      <c r="K634" s="342">
        <f t="shared" ca="1" si="129"/>
        <v>78.833333333333329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IFERROR(__xludf.DUMMYFUNCTION("IMPORTRANGE(""https://docs.google.com/spreadsheets/d/11923uPwbBZFjjGgGUA6NLw09EwE0CqkOc4q9oUmW1yo/edit?usp=sharing"",""พะเยา!I530"")"),120)</f>
        <v>120</v>
      </c>
      <c r="J635" s="505">
        <f ca="1">IFERROR(__xludf.DUMMYFUNCTION("IMPORTRANGE(""https://docs.google.com/spreadsheets/d/11923uPwbBZFjjGgGUA6NLw09EwE0CqkOc4q9oUmW1yo/edit?usp=sharing"",""พะเยา!J530"")"),97)</f>
        <v>97</v>
      </c>
      <c r="K635" s="487">
        <f t="shared" ca="1" si="129"/>
        <v>80.833333333333329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IFERROR(__xludf.DUMMYFUNCTION("IMPORTRANGE(""https://docs.google.com/spreadsheets/d/11923uPwbBZFjjGgGUA6NLw09EwE0CqkOc4q9oUmW1yo/edit?usp=sharing"",""พะเยา!J541"")"),0)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IFERROR(__xludf.DUMMYFUNCTION("IMPORTRANGE(""https://docs.google.com/spreadsheets/d/11923uPwbBZFjjGgGUA6NLw09EwE0CqkOc4q9oUmW1yo/edit?usp=sharing"",""พะเยา!J542"")"),0)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IFERROR(__xludf.DUMMYFUNCTION("IMPORTRANGE(""https://docs.google.com/spreadsheets/d/11923uPwbBZFjjGgGUA6NLw09EwE0CqkOc4q9oUmW1yo/edit?usp=sharing"",""พะเยา!I543"")"),0)</f>
        <v>0</v>
      </c>
      <c r="J648" s="536">
        <f ca="1">IFERROR(__xludf.DUMMYFUNCTION("IMPORTRANGE(""https://docs.google.com/spreadsheets/d/11923uPwbBZFjjGgGUA6NLw09EwE0CqkOc4q9oUmW1yo/edit?usp=sharing"",""พะเยา!J543"")"),0)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IFERROR(__xludf.DUMMYFUNCTION("IMPORTRANGE(""https://docs.google.com/spreadsheets/d/11923uPwbBZFjjGgGUA6NLw09EwE0CqkOc4q9oUmW1yo/edit?usp=sharing"",""พะเยา!L543"")"),0)</f>
        <v>0</v>
      </c>
      <c r="M648" s="521"/>
      <c r="N648" s="538">
        <f ca="1">IFERROR(__xludf.DUMMYFUNCTION("IMPORTRANGE(""https://docs.google.com/spreadsheets/d/11923uPwbBZFjjGgGUA6NLw09EwE0CqkOc4q9oUmW1yo/edit?usp=sharing"",""พะเยา!M543"")"),0)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IFERROR(__xludf.DUMMYFUNCTION("IMPORTRANGE(""https://docs.google.com/spreadsheets/d/11923uPwbBZFjjGgGUA6NLw09EwE0CqkOc4q9oUmW1yo/edit?usp=sharing"",""พะเยา!I544"")"),0)</f>
        <v>0</v>
      </c>
      <c r="J649" s="536">
        <f ca="1">IFERROR(__xludf.DUMMYFUNCTION("IMPORTRANGE(""https://docs.google.com/spreadsheets/d/11923uPwbBZFjjGgGUA6NLw09EwE0CqkOc4q9oUmW1yo/edit?usp=sharing"",""พะเยา!J544"")"),0)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IFERROR(__xludf.DUMMYFUNCTION("IMPORTRANGE(""https://docs.google.com/spreadsheets/d/11923uPwbBZFjjGgGUA6NLw09EwE0CqkOc4q9oUmW1yo/edit?usp=sharing"",""พะเยา!L544"")"),0)</f>
        <v>0</v>
      </c>
      <c r="M649" s="521"/>
      <c r="N649" s="538">
        <f ca="1">IFERROR(__xludf.DUMMYFUNCTION("IMPORTRANGE(""https://docs.google.com/spreadsheets/d/11923uPwbBZFjjGgGUA6NLw09EwE0CqkOc4q9oUmW1yo/edit?usp=sharing"",""พะเยา!M544"")"),0)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IFERROR(__xludf.DUMMYFUNCTION("IMPORTRANGE(""https://docs.google.com/spreadsheets/d/11923uPwbBZFjjGgGUA6NLw09EwE0CqkOc4q9oUmW1yo/edit?usp=sharing"",""พะเยา!I545"")"),0)</f>
        <v>0</v>
      </c>
      <c r="J650" s="536">
        <f ca="1">IFERROR(__xludf.DUMMYFUNCTION("IMPORTRANGE(""https://docs.google.com/spreadsheets/d/11923uPwbBZFjjGgGUA6NLw09EwE0CqkOc4q9oUmW1yo/edit?usp=sharing"",""พะเยา!J545"")"),0)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IFERROR(__xludf.DUMMYFUNCTION("IMPORTRANGE(""https://docs.google.com/spreadsheets/d/11923uPwbBZFjjGgGUA6NLw09EwE0CqkOc4q9oUmW1yo/edit?usp=sharing"",""พะเยา!L545"")"),0)</f>
        <v>0</v>
      </c>
      <c r="M650" s="521"/>
      <c r="N650" s="538">
        <f ca="1">IFERROR(__xludf.DUMMYFUNCTION("IMPORTRANGE(""https://docs.google.com/spreadsheets/d/11923uPwbBZFjjGgGUA6NLw09EwE0CqkOc4q9oUmW1yo/edit?usp=sharing"",""พะเยา!M545"")"),0)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IFERROR(__xludf.DUMMYFUNCTION("IMPORTRANGE(""https://docs.google.com/spreadsheets/d/11923uPwbBZFjjGgGUA6NLw09EwE0CqkOc4q9oUmW1yo/edit?usp=sharing"",""พะเยา!I546"")"),0)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IFERROR(__xludf.DUMMYFUNCTION("IMPORTRANGE(""https://docs.google.com/spreadsheets/d/11923uPwbBZFjjGgGUA6NLw09EwE0CqkOc4q9oUmW1yo/edit?usp=sharing"",""พะเยา!L546"")"),0)</f>
        <v>0</v>
      </c>
      <c r="M651" s="521"/>
      <c r="N651" s="538">
        <f ca="1">IFERROR(__xludf.DUMMYFUNCTION("IMPORTRANGE(""https://docs.google.com/spreadsheets/d/11923uPwbBZFjjGgGUA6NLw09EwE0CqkOc4q9oUmW1yo/edit?usp=sharing"",""พะเยา!M546"")"),0)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IFERROR(__xludf.DUMMYFUNCTION("IMPORTRANGE(""https://docs.google.com/spreadsheets/d/11923uPwbBZFjjGgGUA6NLw09EwE0CqkOc4q9oUmW1yo/edit?usp=sharing"",""พะเยา!J547"")"),0)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IFERROR(__xludf.DUMMYFUNCTION("IMPORTRANGE(""https://docs.google.com/spreadsheets/d/11923uPwbBZFjjGgGUA6NLw09EwE0CqkOc4q9oUmW1yo/edit?usp=sharing"",""พะเยา!J548"")"),0)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IFERROR(__xludf.DUMMYFUNCTION("IMPORTRANGE(""https://docs.google.com/spreadsheets/d/11923uPwbBZFjjGgGUA6NLw09EwE0CqkOc4q9oUmW1yo/edit?usp=sharing"",""พะเยา!J550"")"),0)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IFERROR(__xludf.DUMMYFUNCTION("IMPORTRANGE(""https://docs.google.com/spreadsheets/d/11923uPwbBZFjjGgGUA6NLw09EwE0CqkOc4q9oUmW1yo/edit?usp=sharing"",""พะเยา!J551"")"),0)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IFERROR(__xludf.DUMMYFUNCTION("IMPORTRANGE(""https://docs.google.com/spreadsheets/d/11923uPwbBZFjjGgGUA6NLw09EwE0CqkOc4q9oUmW1yo/edit?usp=sharing"",""พะเยา!J552"")"),0)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IFERROR(__xludf.DUMMYFUNCTION("IMPORTRANGE(""https://docs.google.com/spreadsheets/d/11923uPwbBZFjjGgGUA6NLw09EwE0CqkOc4q9oUmW1yo/edit?usp=sharing"",""พะเยา!J553"")"),0)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IFERROR(__xludf.DUMMYFUNCTION("IMPORTRANGE(""https://docs.google.com/spreadsheets/d/11923uPwbBZFjjGgGUA6NLw09EwE0CqkOc4q9oUmW1yo/edit?usp=sharing"",""พะเยา!J554"")"),0)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IFERROR(__xludf.DUMMYFUNCTION("IMPORTRANGE(""https://docs.google.com/spreadsheets/d/11923uPwbBZFjjGgGUA6NLw09EwE0CqkOc4q9oUmW1yo/edit?usp=sharing"",""พะเยา!J555"")"),0)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IFERROR(__xludf.DUMMYFUNCTION("IMPORTRANGE(""https://docs.google.com/spreadsheets/d/11923uPwbBZFjjGgGUA6NLw09EwE0CqkOc4q9oUmW1yo/edit?usp=sharing"",""พะเยา!J556"")"),0)</f>
        <v>0</v>
      </c>
      <c r="K661" s="537"/>
      <c r="L661" s="522">
        <f ca="1">IFERROR(__xludf.DUMMYFUNCTION("IMPORTRANGE(""https://docs.google.com/spreadsheets/d/11923uPwbBZFjjGgGUA6NLw09EwE0CqkOc4q9oUmW1yo/edit?usp=sharing"",""พะเยา!L556"")"),0)</f>
        <v>0</v>
      </c>
      <c r="M661" s="521"/>
      <c r="N661" s="538">
        <f ca="1">IFERROR(__xludf.DUMMYFUNCTION("IMPORTRANGE(""https://docs.google.com/spreadsheets/d/11923uPwbBZFjjGgGUA6NLw09EwE0CqkOc4q9oUmW1yo/edit?usp=sharing"",""พะเยา!M556"")"),0)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IFERROR(__xludf.DUMMYFUNCTION("IMPORTRANGE(""https://docs.google.com/spreadsheets/d/11923uPwbBZFjjGgGUA6NLw09EwE0CqkOc4q9oUmW1yo/edit?usp=sharing"",""พะเยา!J557"")"),0)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IFERROR(__xludf.DUMMYFUNCTION("IMPORTRANGE(""https://docs.google.com/spreadsheets/d/11923uPwbBZFjjGgGUA6NLw09EwE0CqkOc4q9oUmW1yo/edit?usp=sharing"",""พะเยา!I558"")"),0)</f>
        <v>0</v>
      </c>
      <c r="J663" s="536">
        <f ca="1">IFERROR(__xludf.DUMMYFUNCTION("IMPORTRANGE(""https://docs.google.com/spreadsheets/d/11923uPwbBZFjjGgGUA6NLw09EwE0CqkOc4q9oUmW1yo/edit?usp=sharing"",""พะเยา!J558"")"),0)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IFERROR(__xludf.DUMMYFUNCTION("IMPORTRANGE(""https://docs.google.com/spreadsheets/d/11923uPwbBZFjjGgGUA6NLw09EwE0CqkOc4q9oUmW1yo/edit?usp=sharing"",""พะเยา!I560"")"),0)</f>
        <v>0</v>
      </c>
      <c r="J665" s="536">
        <f ca="1">IFERROR(__xludf.DUMMYFUNCTION("IMPORTRANGE(""https://docs.google.com/spreadsheets/d/11923uPwbBZFjjGgGUA6NLw09EwE0CqkOc4q9oUmW1yo/edit?usp=sharing"",""พะเยา!J560"")"),0)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IFERROR(__xludf.DUMMYFUNCTION("IMPORTRANGE(""https://docs.google.com/spreadsheets/d/11923uPwbBZFjjGgGUA6NLw09EwE0CqkOc4q9oUmW1yo/edit?usp=sharing"",""พะเยา!L560"")"),0)</f>
        <v>0</v>
      </c>
      <c r="M665" s="521"/>
      <c r="N665" s="538">
        <f ca="1">IFERROR(__xludf.DUMMYFUNCTION("IMPORTRANGE(""https://docs.google.com/spreadsheets/d/11923uPwbBZFjjGgGUA6NLw09EwE0CqkOc4q9oUmW1yo/edit?usp=sharing"",""พะเยา!M560"")"),0)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IFERROR(__xludf.DUMMYFUNCTION("IMPORTRANGE(""https://docs.google.com/spreadsheets/d/11923uPwbBZFjjGgGUA6NLw09EwE0CqkOc4q9oUmW1yo/edit?usp=sharing"",""พะเยา!J561"")"),0)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IFERROR(__xludf.DUMMYFUNCTION("IMPORTRANGE(""https://docs.google.com/spreadsheets/d/11923uPwbBZFjjGgGUA6NLw09EwE0CqkOc4q9oUmW1yo/edit?usp=sharing"",""พะเยา!J562"")"),0)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IFERROR(__xludf.DUMMYFUNCTION("IMPORTRANGE(""https://docs.google.com/spreadsheets/d/11923uPwbBZFjjGgGUA6NLw09EwE0CqkOc4q9oUmW1yo/edit?usp=sharing"",""พะเยา!I563"")"),0)</f>
        <v>0</v>
      </c>
      <c r="J668" s="536">
        <f ca="1">IFERROR(__xludf.DUMMYFUNCTION("IMPORTRANGE(""https://docs.google.com/spreadsheets/d/11923uPwbBZFjjGgGUA6NLw09EwE0CqkOc4q9oUmW1yo/edit?usp=sharing"",""พะเยา!J563"")"),0)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IFERROR(__xludf.DUMMYFUNCTION("IMPORTRANGE(""https://docs.google.com/spreadsheets/d/11923uPwbBZFjjGgGUA6NLw09EwE0CqkOc4q9oUmW1yo/edit?usp=sharing"",""พะเยา!L563"")"),0)</f>
        <v>0</v>
      </c>
      <c r="M668" s="521"/>
      <c r="N668" s="538">
        <f ca="1">IFERROR(__xludf.DUMMYFUNCTION("IMPORTRANGE(""https://docs.google.com/spreadsheets/d/11923uPwbBZFjjGgGUA6NLw09EwE0CqkOc4q9oUmW1yo/edit?usp=sharing"",""พะเยา!M563"")"),0)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IFERROR(__xludf.DUMMYFUNCTION("IMPORTRANGE(""https://docs.google.com/spreadsheets/d/11923uPwbBZFjjGgGUA6NLw09EwE0CqkOc4q9oUmW1yo/edit?usp=sharing"",""พะเยา!J564"")"),0)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IFERROR(__xludf.DUMMYFUNCTION("IMPORTRANGE(""https://docs.google.com/spreadsheets/d/11923uPwbBZFjjGgGUA6NLw09EwE0CqkOc4q9oUmW1yo/edit?usp=sharing"",""พะเยา!J565"")"),0)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IFERROR(__xludf.DUMMYFUNCTION("IMPORTRANGE(""https://docs.google.com/spreadsheets/d/11923uPwbBZFjjGgGUA6NLw09EwE0CqkOc4q9oUmW1yo/edit?usp=sharing"",""พะเยา!I566"")"),0)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IFERROR(__xludf.DUMMYFUNCTION("IMPORTRANGE(""https://docs.google.com/spreadsheets/d/11923uPwbBZFjjGgGUA6NLw09EwE0CqkOc4q9oUmW1yo/edit?usp=sharing"",""พะเยา!L566"")"),0)</f>
        <v>0</v>
      </c>
      <c r="M671" s="521"/>
      <c r="N671" s="538">
        <f ca="1">IFERROR(__xludf.DUMMYFUNCTION("IMPORTRANGE(""https://docs.google.com/spreadsheets/d/11923uPwbBZFjjGgGUA6NLw09EwE0CqkOc4q9oUmW1yo/edit?usp=sharing"",""พะเยา!M566"")"),0)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IFERROR(__xludf.DUMMYFUNCTION("IMPORTRANGE(""https://docs.google.com/spreadsheets/d/11923uPwbBZFjjGgGUA6NLw09EwE0CqkOc4q9oUmW1yo/edit?usp=sharing"",""พะเยา!J567"")"),0)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IFERROR(__xludf.DUMMYFUNCTION("IMPORTRANGE(""https://docs.google.com/spreadsheets/d/11923uPwbBZFjjGgGUA6NLw09EwE0CqkOc4q9oUmW1yo/edit?usp=sharing"",""พะเยา!J568"")"),0)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IFERROR(__xludf.DUMMYFUNCTION("IMPORTRANGE(""https://docs.google.com/spreadsheets/d/11923uPwbBZFjjGgGUA6NLw09EwE0CqkOc4q9oUmW1yo/edit?usp=sharing"",""พะเยา!J569"")"),0)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IFERROR(__xludf.DUMMYFUNCTION("IMPORTRANGE(""https://docs.google.com/spreadsheets/d/11923uPwbBZFjjGgGUA6NLw09EwE0CqkOc4q9oUmW1yo/edit?usp=sharing"",""พะเยา!J570"")"),0)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IFERROR(__xludf.DUMMYFUNCTION("IMPORTRANGE(""https://docs.google.com/spreadsheets/d/11923uPwbBZFjjGgGUA6NLw09EwE0CqkOc4q9oUmW1yo/edit?usp=sharing"",""พะเยา!J571"")"),0)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IFERROR(__xludf.DUMMYFUNCTION("IMPORTRANGE(""https://docs.google.com/spreadsheets/d/11923uPwbBZFjjGgGUA6NLw09EwE0CqkOc4q9oUmW1yo/edit?usp=sharing"",""พะเยา!J572"")"),0)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3:P3"/>
    <mergeCell ref="A2:P2"/>
    <mergeCell ref="A1:P1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274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4710612</v>
      </c>
      <c r="M8" s="23">
        <f t="shared" ca="1" si="0"/>
        <v>2693760.39</v>
      </c>
      <c r="N8" s="23">
        <f t="shared" ca="1" si="0"/>
        <v>2980176.86</v>
      </c>
      <c r="O8" s="22">
        <f t="shared" ref="O8:O16" ca="1" si="1">IF(L8&gt;0,N8*100/L8,0)</f>
        <v>63.265173612260995</v>
      </c>
      <c r="P8" s="22">
        <f t="shared" ref="P8:P16" ca="1" si="2">IF(M8&gt;0,N8*100/M8,0)</f>
        <v>110.63258896608841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4710612</v>
      </c>
      <c r="M10" s="30">
        <f t="shared" ca="1" si="4"/>
        <v>2693760.39</v>
      </c>
      <c r="N10" s="30">
        <f t="shared" ca="1" si="4"/>
        <v>2980176.86</v>
      </c>
      <c r="O10" s="29">
        <f t="shared" ca="1" si="1"/>
        <v>63.265173612260995</v>
      </c>
      <c r="P10" s="29">
        <f t="shared" ca="1" si="2"/>
        <v>110.63258896608841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4635012</v>
      </c>
      <c r="M12" s="39">
        <f t="shared" ca="1" si="6"/>
        <v>2618160.39</v>
      </c>
      <c r="N12" s="39">
        <f t="shared" ca="1" si="6"/>
        <v>2904576.86</v>
      </c>
      <c r="O12" s="39">
        <f t="shared" ca="1" si="1"/>
        <v>62.666005179706119</v>
      </c>
      <c r="P12" s="39">
        <f t="shared" ca="1" si="2"/>
        <v>110.93960748523889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2124700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2510312</v>
      </c>
      <c r="M14" s="39">
        <f t="shared" si="8"/>
        <v>0</v>
      </c>
      <c r="N14" s="39">
        <f t="shared" ca="1" si="8"/>
        <v>1011454.3099999999</v>
      </c>
      <c r="O14" s="39">
        <f t="shared" ca="1" si="1"/>
        <v>40.291976057159431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75600</v>
      </c>
      <c r="M16" s="39">
        <f t="shared" ca="1" si="10"/>
        <v>75600</v>
      </c>
      <c r="N16" s="39">
        <f t="shared" ca="1" si="10"/>
        <v>75600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2692065</v>
      </c>
      <c r="M18" s="23">
        <f t="shared" ca="1" si="11"/>
        <v>2693760.39</v>
      </c>
      <c r="N18" s="23">
        <f t="shared" ca="1" si="11"/>
        <v>1968722.5499999998</v>
      </c>
      <c r="O18" s="22">
        <f t="shared" ref="O18:O20" ca="1" si="12">IF(L18&gt;0,N18*100/L18,0)</f>
        <v>73.13057262733254</v>
      </c>
      <c r="P18" s="22">
        <f t="shared" ref="P18:P26" ca="1" si="13">IF(M18&gt;0,N18*100/M18,0)</f>
        <v>73.084545949537841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2692065</v>
      </c>
      <c r="M20" s="30">
        <f t="shared" ca="1" si="15"/>
        <v>2693760.39</v>
      </c>
      <c r="N20" s="30">
        <f t="shared" ca="1" si="15"/>
        <v>1968722.5499999998</v>
      </c>
      <c r="O20" s="29">
        <f t="shared" ca="1" si="12"/>
        <v>73.13057262733254</v>
      </c>
      <c r="P20" s="29">
        <f t="shared" ca="1" si="13"/>
        <v>73.084545949537841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2616465</v>
      </c>
      <c r="M22" s="42">
        <f t="shared" ca="1" si="18"/>
        <v>2618160.39</v>
      </c>
      <c r="N22" s="39">
        <f t="shared" ca="1" si="18"/>
        <v>1893122.5499999998</v>
      </c>
      <c r="O22" s="39">
        <f t="shared" ca="1" si="17"/>
        <v>72.354208827559304</v>
      </c>
      <c r="P22" s="39">
        <f t="shared" ca="1" si="13"/>
        <v>72.307355853015551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2124700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491765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75600</v>
      </c>
      <c r="M26" s="50">
        <f t="shared" ca="1" si="22"/>
        <v>75600</v>
      </c>
      <c r="N26" s="50">
        <f t="shared" ca="1" si="22"/>
        <v>75600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2018547</v>
      </c>
      <c r="M28" s="23">
        <f t="shared" si="23"/>
        <v>0</v>
      </c>
      <c r="N28" s="23">
        <f t="shared" ca="1" si="23"/>
        <v>1011454.3099999999</v>
      </c>
      <c r="O28" s="22">
        <f t="shared" ref="O28:O30" ca="1" si="24">IF(L28&gt;0,N28*100/L28,0)</f>
        <v>50.108038604005756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2018547</v>
      </c>
      <c r="M30" s="30">
        <f t="shared" si="27"/>
        <v>0</v>
      </c>
      <c r="N30" s="30">
        <f t="shared" ca="1" si="27"/>
        <v>1011454.3099999999</v>
      </c>
      <c r="O30" s="29">
        <f t="shared" ca="1" si="24"/>
        <v>50.108038604005756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2018547</v>
      </c>
      <c r="M32" s="39">
        <f t="shared" si="30"/>
        <v>0</v>
      </c>
      <c r="N32" s="39">
        <f t="shared" ca="1" si="30"/>
        <v>1011454.3099999999</v>
      </c>
      <c r="O32" s="39">
        <f t="shared" ca="1" si="29"/>
        <v>50.108038604005756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2018547</v>
      </c>
      <c r="M34" s="39">
        <f t="shared" si="32"/>
        <v>0</v>
      </c>
      <c r="N34" s="39">
        <f t="shared" ca="1" si="32"/>
        <v>1011454.3099999999</v>
      </c>
      <c r="O34" s="39">
        <f t="shared" ca="1" si="29"/>
        <v>50.108038604005756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2692065</v>
      </c>
      <c r="M37" s="55">
        <f t="shared" ca="1" si="33"/>
        <v>2693760.39</v>
      </c>
      <c r="N37" s="55">
        <f t="shared" ca="1" si="33"/>
        <v>1968722.5499999998</v>
      </c>
      <c r="O37" s="56">
        <f t="shared" ca="1" si="29"/>
        <v>73.13057262733254</v>
      </c>
      <c r="P37" s="56">
        <f t="shared" ca="1" si="25"/>
        <v>73.084545949537841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658100</v>
      </c>
      <c r="M41" s="79">
        <f t="shared" ca="1" si="34"/>
        <v>658100</v>
      </c>
      <c r="N41" s="79">
        <f t="shared" ca="1" si="34"/>
        <v>553567.94999999995</v>
      </c>
      <c r="O41" s="78">
        <f t="shared" ref="O41:O43" ca="1" si="35">IF(L41&gt;0,N41*100/L41,0)</f>
        <v>84.116084181735289</v>
      </c>
      <c r="P41" s="78">
        <f t="shared" ref="P41:P43" ca="1" si="36">IF(M41&gt;0,N41*100/M41,0)</f>
        <v>84.116084181735289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658100</v>
      </c>
      <c r="M43" s="79">
        <f t="shared" ca="1" si="38"/>
        <v>658100</v>
      </c>
      <c r="N43" s="79">
        <f t="shared" ca="1" si="38"/>
        <v>553567.94999999995</v>
      </c>
      <c r="O43" s="78">
        <f t="shared" ca="1" si="35"/>
        <v>84.116084181735289</v>
      </c>
      <c r="P43" s="78">
        <f t="shared" ca="1" si="36"/>
        <v>84.116084181735289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658100</v>
      </c>
      <c r="M45" s="50">
        <f ca="1">IFERROR(__xludf.DUMMYFUNCTION("IMPORTRANGE(""https://docs.google.com/spreadsheets/d/1Yj_ptqi66GCucihVvJfMjLAmec39IyEx_6qawtMGysU/edit?usp=sharing"",""สบก!Q27"")"),658100)</f>
        <v>658100</v>
      </c>
      <c r="N45" s="50">
        <f ca="1">IFERROR(__xludf.DUMMYFUNCTION("IMPORTRANGE(""https://docs.google.com/spreadsheets/d/1Yj_ptqi66GCucihVvJfMjLAmec39IyEx_6qawtMGysU/edit?usp=sharing"",""สบก!R27"")"),553567.95)</f>
        <v>553567.94999999995</v>
      </c>
      <c r="O45" s="39">
        <f ca="1">IF(L45&gt;0,N45*100/L45,0)</f>
        <v>84.116084181735289</v>
      </c>
      <c r="P45" s="39">
        <f ca="1">IF(M45&gt;0,N45*100/M45,0)</f>
        <v>84.116084181735289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IFERROR(__xludf.DUMMYFUNCTION("IMPORTRANGE(""https://docs.google.com/spreadsheets/d/1Yj_ptqi66GCucihVvJfMjLAmec39IyEx_6qawtMGysU/edit?usp=sharing"",""สบก!M27"")"),658100)</f>
        <v>658100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IFERROR(__xludf.DUMMYFUNCTION("IMPORTRANGE(""https://docs.google.com/spreadsheets/d/1Yj_ptqi66GCucihVvJfMjLAmec39IyEx_6qawtMGysU/edit?usp=sharing"",""สบก!N27"")"),0)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IFERROR(__xludf.DUMMYFUNCTION("IMPORTRANGE(""https://docs.google.com/spreadsheets/d/1Yj_ptqi66GCucihVvJfMjLAmec39IyEx_6qawtMGysU/edit?usp=sharing"",""สบก!O27"")"),0)</f>
        <v>0</v>
      </c>
      <c r="M49" s="50"/>
      <c r="N49" s="50">
        <f ca="1">IFERROR(__xludf.DUMMYFUNCTION("IMPORTRANGE(""https://docs.google.com/spreadsheets/d/1Yj_ptqi66GCucihVvJfMjLAmec39IyEx_6qawtMGysU/edit?usp=sharing"",""สบก!S27"")"),0)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612000</v>
      </c>
      <c r="M53" s="121">
        <f t="shared" ca="1" si="39"/>
        <v>577888.39</v>
      </c>
      <c r="N53" s="121">
        <f t="shared" ca="1" si="39"/>
        <v>447888.39</v>
      </c>
      <c r="O53" s="120">
        <f t="shared" ref="O53:O55" ca="1" si="40">IF(L53&gt;0,N53*100/L53,0)</f>
        <v>73.184377450980392</v>
      </c>
      <c r="P53" s="120">
        <f t="shared" ref="P53:P55" ca="1" si="41">IF(M53&gt;0,N53*100/M53,0)</f>
        <v>77.504306670705049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612000</v>
      </c>
      <c r="M55" s="121">
        <f t="shared" ca="1" si="43"/>
        <v>577888.39</v>
      </c>
      <c r="N55" s="121">
        <f t="shared" ca="1" si="43"/>
        <v>447888.39</v>
      </c>
      <c r="O55" s="120">
        <f t="shared" ca="1" si="40"/>
        <v>73.184377450980392</v>
      </c>
      <c r="P55" s="120">
        <f t="shared" ca="1" si="41"/>
        <v>77.504306670705049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612000</v>
      </c>
      <c r="M57" s="50">
        <f ca="1">IFERROR(__xludf.DUMMYFUNCTION("IMPORTRANGE(""https://docs.google.com/spreadsheets/d/1Yj_ptqi66GCucihVvJfMjLAmec39IyEx_6qawtMGysU/edit?usp=sharing"",""สบก!Z27"")"),577888.39)</f>
        <v>577888.39</v>
      </c>
      <c r="N57" s="50">
        <f ca="1">IFERROR(__xludf.DUMMYFUNCTION("IMPORTRANGE(""https://docs.google.com/spreadsheets/d/1Yj_ptqi66GCucihVvJfMjLAmec39IyEx_6qawtMGysU/edit?usp=sharing"",""สบก!AA27"")"),447888.39)</f>
        <v>447888.39</v>
      </c>
      <c r="O57" s="39">
        <f ca="1">IF(L57&gt;0,N57*100/L57,0)</f>
        <v>73.184377450980392</v>
      </c>
      <c r="P57" s="39">
        <f ca="1">IF(M57&gt;0,N57*100/M57,0)</f>
        <v>77.504306670705049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IFERROR(__xludf.DUMMYFUNCTION("IMPORTRANGE(""https://docs.google.com/spreadsheets/d/1Yj_ptqi66GCucihVvJfMjLAmec39IyEx_6qawtMGysU/edit?usp=sharing"",""สบก!V27"")"),612000)</f>
        <v>612000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IFERROR(__xludf.DUMMYFUNCTION("IMPORTRANGE(""https://docs.google.com/spreadsheets/d/1Yj_ptqi66GCucihVvJfMjLAmec39IyEx_6qawtMGysU/edit?usp=sharing"",""สบก!W27"")"),0)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IFERROR(__xludf.DUMMYFUNCTION("IMPORTRANGE(""https://docs.google.com/spreadsheets/d/1Yj_ptqi66GCucihVvJfMjLAmec39IyEx_6qawtMGysU/edit?usp=sharing"",""สบก!X27"")"),0)</f>
        <v>0</v>
      </c>
      <c r="M61" s="50"/>
      <c r="N61" s="50">
        <f ca="1">IFERROR(__xludf.DUMMYFUNCTION("IMPORTRANGE(""https://docs.google.com/spreadsheets/d/1Yj_ptqi66GCucihVvJfMjLAmec39IyEx_6qawtMGysU/edit?usp=sharing"",""สบก!AB27"")"),0)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IFERROR(__xludf.DUMMYFUNCTION("IMPORTRANGE(""https://docs.google.com/spreadsheets/d/11923uPwbBZFjjGgGUA6NLw09EwE0CqkOc4q9oUmW1yo/edit?usp=sharing"",""พิจิตร!I9"")"),0)</f>
        <v>0</v>
      </c>
      <c r="J64" s="142">
        <f ca="1">IFERROR(__xludf.DUMMYFUNCTION("IMPORTRANGE(""https://docs.google.com/spreadsheets/d/11923uPwbBZFjjGgGUA6NLw09EwE0CqkOc4q9oUmW1yo/edit?usp=sharing"",""พิจิตร!J9"")"),0)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IFERROR(__xludf.DUMMYFUNCTION("IMPORTRANGE(""https://docs.google.com/spreadsheets/d/11923uPwbBZFjjGgGUA6NLw09EwE0CqkOc4q9oUmW1yo/edit?usp=sharing"",""พิจิตร!I10"")"),0)</f>
        <v>0</v>
      </c>
      <c r="J65" s="142">
        <f ca="1">IFERROR(__xludf.DUMMYFUNCTION("IMPORTRANGE(""https://docs.google.com/spreadsheets/d/11923uPwbBZFjjGgGUA6NLw09EwE0CqkOc4q9oUmW1yo/edit?usp=sharing"",""พิจิตร!J10"")"),0)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IFERROR(__xludf.DUMMYFUNCTION("IMPORTRANGE(""https://docs.google.com/spreadsheets/d/1Yj_ptqi66GCucihVvJfMjLAmec39IyEx_6qawtMGysU/edit?usp=sharing"",""สบก!AI27"")"),0)</f>
        <v>0</v>
      </c>
      <c r="N70" s="168">
        <f ca="1">IFERROR(__xludf.DUMMYFUNCTION("IMPORTRANGE(""https://docs.google.com/spreadsheets/d/1Yj_ptqi66GCucihVvJfMjLAmec39IyEx_6qawtMGysU/edit?usp=sharing"",""สบก!AJ27"")"),0)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IFERROR(__xludf.DUMMYFUNCTION("IMPORTRANGE(""https://docs.google.com/spreadsheets/d/1Yj_ptqi66GCucihVvJfMjLAmec39IyEx_6qawtMGysU/edit?usp=sharing"",""สบก!AE27"")"),0)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IFERROR(__xludf.DUMMYFUNCTION("IMPORTRANGE(""https://docs.google.com/spreadsheets/d/1Yj_ptqi66GCucihVvJfMjLAmec39IyEx_6qawtMGysU/edit?usp=sharing"",""สบก!AF27"")"),0)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IFERROR(__xludf.DUMMYFUNCTION("IMPORTRANGE(""https://docs.google.com/spreadsheets/d/1Yj_ptqi66GCucihVvJfMjLAmec39IyEx_6qawtMGysU/edit?usp=sharing"",""สบก!AG27"")"),0)</f>
        <v>0</v>
      </c>
      <c r="M74" s="50"/>
      <c r="N74" s="50">
        <f ca="1">IFERROR(__xludf.DUMMYFUNCTION("IMPORTRANGE(""https://docs.google.com/spreadsheets/d/1Yj_ptqi66GCucihVvJfMjLAmec39IyEx_6qawtMGysU/edit?usp=sharing"",""สบก!AK27"")"),0)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IFERROR(__xludf.DUMMYFUNCTION("IMPORTRANGE(""https://docs.google.com/spreadsheets/d/11923uPwbBZFjjGgGUA6NLw09EwE0CqkOc4q9oUmW1yo/edit?usp=sharing"",""พิจิตร!J16"")"),0)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IFERROR(__xludf.DUMMYFUNCTION("IMPORTRANGE(""https://docs.google.com/spreadsheets/d/11923uPwbBZFjjGgGUA6NLw09EwE0CqkOc4q9oUmW1yo/edit?usp=sharing"",""พิจิตร!J17"")"),0)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IFERROR(__xludf.DUMMYFUNCTION("IMPORTRANGE(""https://docs.google.com/spreadsheets/d/11923uPwbBZFjjGgGUA6NLw09EwE0CqkOc4q9oUmW1yo/edit?usp=sharing"",""พิจิตร!J18"")"),0)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IFERROR(__xludf.DUMMYFUNCTION("IMPORTRANGE(""https://docs.google.com/spreadsheets/d/11923uPwbBZFjjGgGUA6NLw09EwE0CqkOc4q9oUmW1yo/edit?usp=sharing"",""พิจิตร!J19"")"),0)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IFERROR(__xludf.DUMMYFUNCTION("IMPORTRANGE(""https://docs.google.com/spreadsheets/d/11923uPwbBZFjjGgGUA6NLw09EwE0CqkOc4q9oUmW1yo/edit?usp=sharing"",""พิจิตร!I20"")"),0)</f>
        <v>0</v>
      </c>
      <c r="J80" s="200">
        <f ca="1">IFERROR(__xludf.DUMMYFUNCTION("IMPORTRANGE(""https://docs.google.com/spreadsheets/d/11923uPwbBZFjjGgGUA6NLw09EwE0CqkOc4q9oUmW1yo/edit?usp=sharing"",""พิจิตร!J20"")"),0)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IFERROR(__xludf.DUMMYFUNCTION("IMPORTRANGE(""https://docs.google.com/spreadsheets/d/11923uPwbBZFjjGgGUA6NLw09EwE0CqkOc4q9oUmW1yo/edit?usp=sharing"",""พิจิตร!I21"")"),0)</f>
        <v>0</v>
      </c>
      <c r="J81" s="200">
        <f ca="1">IFERROR(__xludf.DUMMYFUNCTION("IMPORTRANGE(""https://docs.google.com/spreadsheets/d/11923uPwbBZFjjGgGUA6NLw09EwE0CqkOc4q9oUmW1yo/edit?usp=sharing"",""พิจิตร!J21"")"),0)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IFERROR(__xludf.DUMMYFUNCTION("IMPORTRANGE(""https://docs.google.com/spreadsheets/d/11923uPwbBZFjjGgGUA6NLw09EwE0CqkOc4q9oUmW1yo/edit?usp=sharing"",""พิจิตร!I22"")"),0)</f>
        <v>0</v>
      </c>
      <c r="J82" s="203">
        <f ca="1">IFERROR(__xludf.DUMMYFUNCTION("IMPORTRANGE(""https://docs.google.com/spreadsheets/d/11923uPwbBZFjjGgGUA6NLw09EwE0CqkOc4q9oUmW1yo/edit?usp=sharing"",""พิจิตร!J22"")"),0)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IFERROR(__xludf.DUMMYFUNCTION("IMPORTRANGE(""https://docs.google.com/spreadsheets/d/11923uPwbBZFjjGgGUA6NLw09EwE0CqkOc4q9oUmW1yo/edit?usp=sharing"",""พิจิตร!I23"")"),0)</f>
        <v>0</v>
      </c>
      <c r="J83" s="203">
        <f ca="1">IFERROR(__xludf.DUMMYFUNCTION("IMPORTRANGE(""https://docs.google.com/spreadsheets/d/11923uPwbBZFjjGgGUA6NLw09EwE0CqkOc4q9oUmW1yo/edit?usp=sharing"",""พิจิตร!J23"")"),0)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IFERROR(__xludf.DUMMYFUNCTION("IMPORTRANGE(""https://docs.google.com/spreadsheets/d/11923uPwbBZFjjGgGUA6NLw09EwE0CqkOc4q9oUmW1yo/edit?usp=sharing"",""พิจิตร!I24"")"),0)</f>
        <v>0</v>
      </c>
      <c r="J84" s="188">
        <f ca="1">IFERROR(__xludf.DUMMYFUNCTION("IMPORTRANGE(""https://docs.google.com/spreadsheets/d/11923uPwbBZFjjGgGUA6NLw09EwE0CqkOc4q9oUmW1yo/edit?usp=sharing"",""พิจิตร!J24"")"),0)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IFERROR(__xludf.DUMMYFUNCTION("IMPORTRANGE(""https://docs.google.com/spreadsheets/d/11923uPwbBZFjjGgGUA6NLw09EwE0CqkOc4q9oUmW1yo/edit?usp=sharing"",""พิจิตร!I25"")"),0)</f>
        <v>0</v>
      </c>
      <c r="J85" s="188">
        <f ca="1">IFERROR(__xludf.DUMMYFUNCTION("IMPORTRANGE(""https://docs.google.com/spreadsheets/d/11923uPwbBZFjjGgGUA6NLw09EwE0CqkOc4q9oUmW1yo/edit?usp=sharing"",""พิจิตร!J25"")"),0)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IFERROR(__xludf.DUMMYFUNCTION("IMPORTRANGE(""https://docs.google.com/spreadsheets/d/11923uPwbBZFjjGgGUA6NLw09EwE0CqkOc4q9oUmW1yo/edit?usp=sharing"",""พิจิตร!I26"")"),0)</f>
        <v>0</v>
      </c>
      <c r="J86" s="203">
        <f ca="1">IFERROR(__xludf.DUMMYFUNCTION("IMPORTRANGE(""https://docs.google.com/spreadsheets/d/11923uPwbBZFjjGgGUA6NLw09EwE0CqkOc4q9oUmW1yo/edit?usp=sharing"",""พิจิตร!J26"")"),0)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IFERROR(__xludf.DUMMYFUNCTION("IMPORTRANGE(""https://docs.google.com/spreadsheets/d/11923uPwbBZFjjGgGUA6NLw09EwE0CqkOc4q9oUmW1yo/edit?usp=sharing"",""พิจิตร!I27"")"),0)</f>
        <v>0</v>
      </c>
      <c r="J87" s="203">
        <f ca="1">IFERROR(__xludf.DUMMYFUNCTION("IMPORTRANGE(""https://docs.google.com/spreadsheets/d/11923uPwbBZFjjGgGUA6NLw09EwE0CqkOc4q9oUmW1yo/edit?usp=sharing"",""พิจิตร!J27"")"),0)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IFERROR(__xludf.DUMMYFUNCTION("IMPORTRANGE(""https://docs.google.com/spreadsheets/d/11923uPwbBZFjjGgGUA6NLw09EwE0CqkOc4q9oUmW1yo/edit?usp=sharing"",""พิจิตร!I28"")"),0)</f>
        <v>0</v>
      </c>
      <c r="J88" s="203">
        <f ca="1">IFERROR(__xludf.DUMMYFUNCTION("IMPORTRANGE(""https://docs.google.com/spreadsheets/d/11923uPwbBZFjjGgGUA6NLw09EwE0CqkOc4q9oUmW1yo/edit?usp=sharing"",""พิจิตร!J28"")"),0)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IFERROR(__xludf.DUMMYFUNCTION("IMPORTRANGE(""https://docs.google.com/spreadsheets/d/11923uPwbBZFjjGgGUA6NLw09EwE0CqkOc4q9oUmW1yo/edit?usp=sharing"",""พิจิตร!J29"")"),0)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IFERROR(__xludf.DUMMYFUNCTION("IMPORTRANGE(""https://docs.google.com/spreadsheets/d/11923uPwbBZFjjGgGUA6NLw09EwE0CqkOc4q9oUmW1yo/edit?usp=sharing"",""พิจิตร!J30"")"),0)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IFERROR(__xludf.DUMMYFUNCTION("IMPORTRANGE(""https://docs.google.com/spreadsheets/d/11923uPwbBZFjjGgGUA6NLw09EwE0CqkOc4q9oUmW1yo/edit?usp=sharing"",""พิจิตร!I32"")"),0)</f>
        <v>0</v>
      </c>
      <c r="J92" s="142">
        <f ca="1">IFERROR(__xludf.DUMMYFUNCTION("IMPORTRANGE(""https://docs.google.com/spreadsheets/d/11923uPwbBZFjjGgGUA6NLw09EwE0CqkOc4q9oUmW1yo/edit?usp=sharing"",""พิจิตร!J32"")"),0)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IFERROR(__xludf.DUMMYFUNCTION("IMPORTRANGE(""https://docs.google.com/spreadsheets/d/11923uPwbBZFjjGgGUA6NLw09EwE0CqkOc4q9oUmW1yo/edit?usp=sharing"",""พิจิตร!I33"")"),0)</f>
        <v>0</v>
      </c>
      <c r="J93" s="142">
        <f ca="1">IFERROR(__xludf.DUMMYFUNCTION("IMPORTRANGE(""https://docs.google.com/spreadsheets/d/11923uPwbBZFjjGgGUA6NLw09EwE0CqkOc4q9oUmW1yo/edit?usp=sharing"",""พิจิตร!J33"")"),0)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IFERROR(__xludf.DUMMYFUNCTION("IMPORTRANGE(""https://docs.google.com/spreadsheets/d/1Yj_ptqi66GCucihVvJfMjLAmec39IyEx_6qawtMGysU/edit?usp=sharing"",""สบก!AR27"")"),0)</f>
        <v>0</v>
      </c>
      <c r="N98" s="168">
        <f ca="1">IFERROR(__xludf.DUMMYFUNCTION("IMPORTRANGE(""https://docs.google.com/spreadsheets/d/1Yj_ptqi66GCucihVvJfMjLAmec39IyEx_6qawtMGysU/edit?usp=sharing"",""สบก!AS27"")"),0)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IFERROR(__xludf.DUMMYFUNCTION("IMPORTRANGE(""https://docs.google.com/spreadsheets/d/1Yj_ptqi66GCucihVvJfMjLAmec39IyEx_6qawtMGysU/edit?usp=sharing"",""สบก!AN27"")"),0)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IFERROR(__xludf.DUMMYFUNCTION("IMPORTRANGE(""https://docs.google.com/spreadsheets/d/1Yj_ptqi66GCucihVvJfMjLAmec39IyEx_6qawtMGysU/edit?usp=sharing"",""สบก!AO27"")"),0)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IFERROR(__xludf.DUMMYFUNCTION("IMPORTRANGE(""https://docs.google.com/spreadsheets/d/1Yj_ptqi66GCucihVvJfMjLAmec39IyEx_6qawtMGysU/edit?usp=sharing"",""สบก!AP27"")"),0)</f>
        <v>0</v>
      </c>
      <c r="M102" s="50"/>
      <c r="N102" s="50">
        <f ca="1">IFERROR(__xludf.DUMMYFUNCTION("IMPORTRANGE(""https://docs.google.com/spreadsheets/d/1Yj_ptqi66GCucihVvJfMjLAmec39IyEx_6qawtMGysU/edit?usp=sharing"",""สบก!AT27"")"),0)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IFERROR(__xludf.DUMMYFUNCTION("IMPORTRANGE(""https://docs.google.com/spreadsheets/d/11923uPwbBZFjjGgGUA6NLw09EwE0CqkOc4q9oUmW1yo/edit?usp=sharing"",""พิจิตร!J39"")"),0)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IFERROR(__xludf.DUMMYFUNCTION("IMPORTRANGE(""https://docs.google.com/spreadsheets/d/11923uPwbBZFjjGgGUA6NLw09EwE0CqkOc4q9oUmW1yo/edit?usp=sharing"",""พิจิตร!J40"")"),0)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IFERROR(__xludf.DUMMYFUNCTION("IMPORTRANGE(""https://docs.google.com/spreadsheets/d/11923uPwbBZFjjGgGUA6NLw09EwE0CqkOc4q9oUmW1yo/edit?usp=sharing"",""พิจิตร!J41"")"),0)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IFERROR(__xludf.DUMMYFUNCTION("IMPORTRANGE(""https://docs.google.com/spreadsheets/d/11923uPwbBZFjjGgGUA6NLw09EwE0CqkOc4q9oUmW1yo/edit?usp=sharing"",""พิจิตร!J42"")"),0)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IFERROR(__xludf.DUMMYFUNCTION("IMPORTRANGE(""https://docs.google.com/spreadsheets/d/11923uPwbBZFjjGgGUA6NLw09EwE0CqkOc4q9oUmW1yo/edit?usp=sharing"",""พิจิตร!I43"")"),0)</f>
        <v>0</v>
      </c>
      <c r="J108" s="203">
        <f ca="1">IFERROR(__xludf.DUMMYFUNCTION("IMPORTRANGE(""https://docs.google.com/spreadsheets/d/11923uPwbBZFjjGgGUA6NLw09EwE0CqkOc4q9oUmW1yo/edit?usp=sharing"",""พิจิตร!J43"")"),0)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IFERROR(__xludf.DUMMYFUNCTION("IMPORTRANGE(""https://docs.google.com/spreadsheets/d/11923uPwbBZFjjGgGUA6NLw09EwE0CqkOc4q9oUmW1yo/edit?usp=sharing"",""พิจิตร!I44"")"),0)</f>
        <v>0</v>
      </c>
      <c r="J109" s="203">
        <f ca="1">IFERROR(__xludf.DUMMYFUNCTION("IMPORTRANGE(""https://docs.google.com/spreadsheets/d/11923uPwbBZFjjGgGUA6NLw09EwE0CqkOc4q9oUmW1yo/edit?usp=sharing"",""พิจิตร!J44"")"),0)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IFERROR(__xludf.DUMMYFUNCTION("IMPORTRANGE(""https://docs.google.com/spreadsheets/d/11923uPwbBZFjjGgGUA6NLw09EwE0CqkOc4q9oUmW1yo/edit?usp=sharing"",""พิจิตร!I45"")"),0)</f>
        <v>0</v>
      </c>
      <c r="J110" s="203">
        <f ca="1">IFERROR(__xludf.DUMMYFUNCTION("IMPORTRANGE(""https://docs.google.com/spreadsheets/d/11923uPwbBZFjjGgGUA6NLw09EwE0CqkOc4q9oUmW1yo/edit?usp=sharing"",""พิจิตร!J45"")"),0)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IFERROR(__xludf.DUMMYFUNCTION("IMPORTRANGE(""https://docs.google.com/spreadsheets/d/11923uPwbBZFjjGgGUA6NLw09EwE0CqkOc4q9oUmW1yo/edit?usp=sharing"",""พิจิตร!I46"")"),0)</f>
        <v>0</v>
      </c>
      <c r="J111" s="203">
        <f ca="1">IFERROR(__xludf.DUMMYFUNCTION("IMPORTRANGE(""https://docs.google.com/spreadsheets/d/11923uPwbBZFjjGgGUA6NLw09EwE0CqkOc4q9oUmW1yo/edit?usp=sharing"",""พิจิตร!J46"")"),0)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IFERROR(__xludf.DUMMYFUNCTION("IMPORTRANGE(""https://docs.google.com/spreadsheets/d/11923uPwbBZFjjGgGUA6NLw09EwE0CqkOc4q9oUmW1yo/edit?usp=sharing"",""พิจิตร!I47"")"),0)</f>
        <v>0</v>
      </c>
      <c r="J112" s="203">
        <f ca="1">IFERROR(__xludf.DUMMYFUNCTION("IMPORTRANGE(""https://docs.google.com/spreadsheets/d/11923uPwbBZFjjGgGUA6NLw09EwE0CqkOc4q9oUmW1yo/edit?usp=sharing"",""พิจิตร!J47"")"),0)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IFERROR(__xludf.DUMMYFUNCTION("IMPORTRANGE(""https://docs.google.com/spreadsheets/d/11923uPwbBZFjjGgGUA6NLw09EwE0CqkOc4q9oUmW1yo/edit?usp=sharing"",""พิจิตร!I48"")"),0)</f>
        <v>0</v>
      </c>
      <c r="J113" s="203">
        <f ca="1">IFERROR(__xludf.DUMMYFUNCTION("IMPORTRANGE(""https://docs.google.com/spreadsheets/d/11923uPwbBZFjjGgGUA6NLw09EwE0CqkOc4q9oUmW1yo/edit?usp=sharing"",""พิจิตร!J48"")"),0)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IFERROR(__xludf.DUMMYFUNCTION("IMPORTRANGE(""https://docs.google.com/spreadsheets/d/11923uPwbBZFjjGgGUA6NLw09EwE0CqkOc4q9oUmW1yo/edit?usp=sharing"",""พิจิตร!J49"")"),0)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IFERROR(__xludf.DUMMYFUNCTION("IMPORTRANGE(""https://docs.google.com/spreadsheets/d/11923uPwbBZFjjGgGUA6NLw09EwE0CqkOc4q9oUmW1yo/edit?usp=sharing"",""พิจิตร!J50"")"),0)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IFERROR(__xludf.DUMMYFUNCTION("IMPORTRANGE(""https://docs.google.com/spreadsheets/d/11923uPwbBZFjjGgGUA6NLw09EwE0CqkOc4q9oUmW1yo/edit?usp=sharing"",""พิจิตร!I52"")"),0)</f>
        <v>0</v>
      </c>
      <c r="J117" s="142">
        <f ca="1">IFERROR(__xludf.DUMMYFUNCTION("IMPORTRANGE(""https://docs.google.com/spreadsheets/d/11923uPwbBZFjjGgGUA6NLw09EwE0CqkOc4q9oUmW1yo/edit?usp=sharing"",""พิจิตร!J52"")"),0)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3607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3607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IFERROR(__xludf.DUMMYFUNCTION("IMPORTRANGE(""https://docs.google.com/spreadsheets/d/1Yj_ptqi66GCucihVvJfMjLAmec39IyEx_6qawtMGysU/edit?usp=sharing"",""สบก!BA27"")"),3607)</f>
        <v>3607</v>
      </c>
      <c r="N122" s="168">
        <f ca="1">IFERROR(__xludf.DUMMYFUNCTION("IMPORTRANGE(""https://docs.google.com/spreadsheets/d/1Yj_ptqi66GCucihVvJfMjLAmec39IyEx_6qawtMGysU/edit?usp=sharing"",""สบก!BB27"")"),0)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IFERROR(__xludf.DUMMYFUNCTION("IMPORTRANGE(""https://docs.google.com/spreadsheets/d/1Yj_ptqi66GCucihVvJfMjLAmec39IyEx_6qawtMGysU/edit?usp=sharing"",""สบก!AW27"")"),0)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IFERROR(__xludf.DUMMYFUNCTION("IMPORTRANGE(""https://docs.google.com/spreadsheets/d/1Yj_ptqi66GCucihVvJfMjLAmec39IyEx_6qawtMGysU/edit?usp=sharing"",""สบก!AX27"")"),0)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IFERROR(__xludf.DUMMYFUNCTION("IMPORTRANGE(""https://docs.google.com/spreadsheets/d/1Yj_ptqi66GCucihVvJfMjLAmec39IyEx_6qawtMGysU/edit?usp=sharing"",""สบก!AY27"")"),0)</f>
        <v>0</v>
      </c>
      <c r="M126" s="50"/>
      <c r="N126" s="50">
        <f ca="1">IFERROR(__xludf.DUMMYFUNCTION("IMPORTRANGE(""https://docs.google.com/spreadsheets/d/1Yj_ptqi66GCucihVvJfMjLAmec39IyEx_6qawtMGysU/edit?usp=sharing"",""สบก!BC27"")"),0)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IFERROR(__xludf.DUMMYFUNCTION("IMPORTRANGE(""https://docs.google.com/spreadsheets/d/11923uPwbBZFjjGgGUA6NLw09EwE0CqkOc4q9oUmW1yo/edit?usp=sharing"",""พิจิตร!J58"")"),0)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IFERROR(__xludf.DUMMYFUNCTION("IMPORTRANGE(""https://docs.google.com/spreadsheets/d/11923uPwbBZFjjGgGUA6NLw09EwE0CqkOc4q9oUmW1yo/edit?usp=sharing"",""พิจิตร!J59"")"),0)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IFERROR(__xludf.DUMMYFUNCTION("IMPORTRANGE(""https://docs.google.com/spreadsheets/d/11923uPwbBZFjjGgGUA6NLw09EwE0CqkOc4q9oUmW1yo/edit?usp=sharing"",""พิจิตร!J60"")"),0)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IFERROR(__xludf.DUMMYFUNCTION("IMPORTRANGE(""https://docs.google.com/spreadsheets/d/11923uPwbBZFjjGgGUA6NLw09EwE0CqkOc4q9oUmW1yo/edit?usp=sharing"",""พิจิตร!J61"")"),0)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IFERROR(__xludf.DUMMYFUNCTION("IMPORTRANGE(""https://docs.google.com/spreadsheets/d/11923uPwbBZFjjGgGUA6NLw09EwE0CqkOc4q9oUmW1yo/edit?usp=sharing"",""พิจิตร!I62"")"),0)</f>
        <v>0</v>
      </c>
      <c r="J132" s="203">
        <f ca="1">IFERROR(__xludf.DUMMYFUNCTION("IMPORTRANGE(""https://docs.google.com/spreadsheets/d/11923uPwbBZFjjGgGUA6NLw09EwE0CqkOc4q9oUmW1yo/edit?usp=sharing"",""พิจิตร!J62"")"),0)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IFERROR(__xludf.DUMMYFUNCTION("IMPORTRANGE(""https://docs.google.com/spreadsheets/d/11923uPwbBZFjjGgGUA6NLw09EwE0CqkOc4q9oUmW1yo/edit?usp=sharing"",""พิจิตร!I63"")"),0)</f>
        <v>0</v>
      </c>
      <c r="J133" s="203">
        <f ca="1">IFERROR(__xludf.DUMMYFUNCTION("IMPORTRANGE(""https://docs.google.com/spreadsheets/d/11923uPwbBZFjjGgGUA6NLw09EwE0CqkOc4q9oUmW1yo/edit?usp=sharing"",""พิจิตร!J63"")"),0)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IFERROR(__xludf.DUMMYFUNCTION("IMPORTRANGE(""https://docs.google.com/spreadsheets/d/11923uPwbBZFjjGgGUA6NLw09EwE0CqkOc4q9oUmW1yo/edit?usp=sharing"",""พิจิตร!J64"")"),0)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IFERROR(__xludf.DUMMYFUNCTION("IMPORTRANGE(""https://docs.google.com/spreadsheets/d/11923uPwbBZFjjGgGUA6NLw09EwE0CqkOc4q9oUmW1yo/edit?usp=sharing"",""พิจิตร!J65"")"),0)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IFERROR(__xludf.DUMMYFUNCTION("IMPORTRANGE(""https://docs.google.com/spreadsheets/d/11923uPwbBZFjjGgGUA6NLw09EwE0CqkOc4q9oUmW1yo/edit?usp=sharing"",""พิจิตร!I68"")"),0)</f>
        <v>0</v>
      </c>
      <c r="J138" s="267">
        <f ca="1">IFERROR(__xludf.DUMMYFUNCTION("IMPORTRANGE(""https://docs.google.com/spreadsheets/d/11923uPwbBZFjjGgGUA6NLw09EwE0CqkOc4q9oUmW1yo/edit?usp=sharing"",""พิจิตร!J68"")"),0)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104600</v>
      </c>
      <c r="N140" s="152">
        <f t="shared" ca="1" si="64"/>
        <v>47580</v>
      </c>
      <c r="O140" s="151">
        <f t="shared" ref="O140:O142" ca="1" si="65">IF(L140&gt;0,N140*100/L140,0)</f>
        <v>81.333333333333329</v>
      </c>
      <c r="P140" s="151">
        <f t="shared" ref="P140:P142" ca="1" si="66">IF(M140&gt;0,N140*100/M140,0)</f>
        <v>45.487571701720839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58500</v>
      </c>
      <c r="M142" s="88">
        <f t="shared" ca="1" si="68"/>
        <v>104600</v>
      </c>
      <c r="N142" s="88">
        <f t="shared" ca="1" si="68"/>
        <v>47580</v>
      </c>
      <c r="O142" s="156">
        <f t="shared" ca="1" si="65"/>
        <v>81.333333333333329</v>
      </c>
      <c r="P142" s="156">
        <f t="shared" ca="1" si="66"/>
        <v>45.487571701720839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58500</v>
      </c>
      <c r="M144" s="167">
        <f ca="1">IFERROR(__xludf.DUMMYFUNCTION("IMPORTRANGE(""https://docs.google.com/spreadsheets/d/1Yj_ptqi66GCucihVvJfMjLAmec39IyEx_6qawtMGysU/edit?usp=sharing"",""สบก!BJ27"")"),104600)</f>
        <v>104600</v>
      </c>
      <c r="N144" s="168">
        <f ca="1">IFERROR(__xludf.DUMMYFUNCTION("IMPORTRANGE(""https://docs.google.com/spreadsheets/d/1Yj_ptqi66GCucihVvJfMjLAmec39IyEx_6qawtMGysU/edit?usp=sharing"",""สบก!BK27"")"),47580)</f>
        <v>47580</v>
      </c>
      <c r="O144" s="168">
        <f ca="1">IF(L144&gt;0,N144*100/L144,0)</f>
        <v>81.333333333333329</v>
      </c>
      <c r="P144" s="168">
        <f ca="1">IF(M144&gt;0,N144*100/M144,0)</f>
        <v>45.487571701720839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IFERROR(__xludf.DUMMYFUNCTION("IMPORTRANGE(""https://docs.google.com/spreadsheets/d/1Yj_ptqi66GCucihVvJfMjLAmec39IyEx_6qawtMGysU/edit?usp=sharing"",""สบก!BF27"")"),0)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IFERROR(__xludf.DUMMYFUNCTION("IMPORTRANGE(""https://docs.google.com/spreadsheets/d/1Yj_ptqi66GCucihVvJfMjLAmec39IyEx_6qawtMGysU/edit?usp=sharing"",""สบก!BG27"")"),58500)</f>
        <v>58500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IFERROR(__xludf.DUMMYFUNCTION("IMPORTRANGE(""https://docs.google.com/spreadsheets/d/1Yj_ptqi66GCucihVvJfMjLAmec39IyEx_6qawtMGysU/edit?usp=sharing"",""สบก!BH27"")"),0)</f>
        <v>0</v>
      </c>
      <c r="M148" s="50"/>
      <c r="N148" s="50">
        <f ca="1">IFERROR(__xludf.DUMMYFUNCTION("IMPORTRANGE(""https://docs.google.com/spreadsheets/d/1Yj_ptqi66GCucihVvJfMjLAmec39IyEx_6qawtMGysU/edit?usp=sharing"",""สบก!BL27"")"),0)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IFERROR(__xludf.DUMMYFUNCTION("IMPORTRANGE(""https://docs.google.com/spreadsheets/d/11923uPwbBZFjjGgGUA6NLw09EwE0CqkOc4q9oUmW1yo/edit?usp=sharing"",""พิจิตร!I74"")"),4)</f>
        <v>4</v>
      </c>
      <c r="J149" s="275">
        <f ca="1">IFERROR(__xludf.DUMMYFUNCTION("IMPORTRANGE(""https://docs.google.com/spreadsheets/d/11923uPwbBZFjjGgGUA6NLw09EwE0CqkOc4q9oUmW1yo/edit?usp=sharing"",""พิจิตร!J74"")"),3)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IFERROR(__xludf.DUMMYFUNCTION("IMPORTRANGE(""https://docs.google.com/spreadsheets/d/11923uPwbBZFjjGgGUA6NLw09EwE0CqkOc4q9oUmW1yo/edit?usp=sharing"",""พิจิตร!J79"")"),0)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IFERROR(__xludf.DUMMYFUNCTION("IMPORTRANGE(""https://docs.google.com/spreadsheets/d/11923uPwbBZFjjGgGUA6NLw09EwE0CqkOc4q9oUmW1yo/edit?usp=sharing"",""พิจิตร!J80"")"),1)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IFERROR(__xludf.DUMMYFUNCTION("IMPORTRANGE(""https://docs.google.com/spreadsheets/d/11923uPwbBZFjjGgGUA6NLw09EwE0CqkOc4q9oUmW1yo/edit?usp=sharing"",""พิจิตร!J81"")"),0)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IFERROR(__xludf.DUMMYFUNCTION("IMPORTRANGE(""https://docs.google.com/spreadsheets/d/11923uPwbBZFjjGgGUA6NLw09EwE0CqkOc4q9oUmW1yo/edit?usp=sharing"",""พิจิตร!J82"")"),1)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IFERROR(__xludf.DUMMYFUNCTION("IMPORTRANGE(""https://docs.google.com/spreadsheets/d/11923uPwbBZFjjGgGUA6NLw09EwE0CqkOc4q9oUmW1yo/edit?usp=sharing"",""พิจิตร!I83"")"),4)</f>
        <v>4</v>
      </c>
      <c r="J158" s="188">
        <f ca="1">IFERROR(__xludf.DUMMYFUNCTION("IMPORTRANGE(""https://docs.google.com/spreadsheets/d/11923uPwbBZFjjGgGUA6NLw09EwE0CqkOc4q9oUmW1yo/edit?usp=sharing"",""พิจิตร!J83"")"),3)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IFERROR(__xludf.DUMMYFUNCTION("IMPORTRANGE(""https://docs.google.com/spreadsheets/d/11923uPwbBZFjjGgGUA6NLw09EwE0CqkOc4q9oUmW1yo/edit?usp=sharing"",""พิจิตร!J84"")"),66)</f>
        <v>66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IFERROR(__xludf.DUMMYFUNCTION("IMPORTRANGE(""https://docs.google.com/spreadsheets/d/11923uPwbBZFjjGgGUA6NLw09EwE0CqkOc4q9oUmW1yo/edit?usp=sharing"",""พิจิตร!J85"")"),66)</f>
        <v>66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IFERROR(__xludf.DUMMYFUNCTION("IMPORTRANGE(""https://docs.google.com/spreadsheets/d/11923uPwbBZFjjGgGUA6NLw09EwE0CqkOc4q9oUmW1yo/edit?usp=sharing"",""พิจิตร!J86"")"),0)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IFERROR(__xludf.DUMMYFUNCTION("IMPORTRANGE(""https://docs.google.com/spreadsheets/d/11923uPwbBZFjjGgGUA6NLw09EwE0CqkOc4q9oUmW1yo/edit?usp=sharing"",""พิจิตร!J87"")"),0)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IFERROR(__xludf.DUMMYFUNCTION("IMPORTRANGE(""https://docs.google.com/spreadsheets/d/11923uPwbBZFjjGgGUA6NLw09EwE0CqkOc4q9oUmW1yo/edit?usp=sharing"",""พิจิตร!J88"")"),0)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IFERROR(__xludf.DUMMYFUNCTION("IMPORTRANGE(""https://docs.google.com/spreadsheets/d/11923uPwbBZFjjGgGUA6NLw09EwE0CqkOc4q9oUmW1yo/edit?usp=sharing"",""พิจิตร!I89"")"),3)</f>
        <v>3</v>
      </c>
      <c r="J164" s="284">
        <f ca="1">IFERROR(__xludf.DUMMYFUNCTION("IMPORTRANGE(""https://docs.google.com/spreadsheets/d/11923uPwbBZFjjGgGUA6NLw09EwE0CqkOc4q9oUmW1yo/edit?usp=sharing"",""พิจิตร!J89"")"),3)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IFERROR(__xludf.DUMMYFUNCTION("IMPORTRANGE(""https://docs.google.com/spreadsheets/d/11923uPwbBZFjjGgGUA6NLw09EwE0CqkOc4q9oUmW1yo/edit?usp=sharing"",""พิจิตร!J94"")"),0)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IFERROR(__xludf.DUMMYFUNCTION("IMPORTRANGE(""https://docs.google.com/spreadsheets/d/11923uPwbBZFjjGgGUA6NLw09EwE0CqkOc4q9oUmW1yo/edit?usp=sharing"",""พิจิตร!J95"")"),1)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IFERROR(__xludf.DUMMYFUNCTION("IMPORTRANGE(""https://docs.google.com/spreadsheets/d/11923uPwbBZFjjGgGUA6NLw09EwE0CqkOc4q9oUmW1yo/edit?usp=sharing"",""พิจิตร!J96"")"),0)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IFERROR(__xludf.DUMMYFUNCTION("IMPORTRANGE(""https://docs.google.com/spreadsheets/d/11923uPwbBZFjjGgGUA6NLw09EwE0CqkOc4q9oUmW1yo/edit?usp=sharing"",""พิจิตร!J97"")"),1)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IFERROR(__xludf.DUMMYFUNCTION("IMPORTRANGE(""https://docs.google.com/spreadsheets/d/11923uPwbBZFjjGgGUA6NLw09EwE0CqkOc4q9oUmW1yo/edit?usp=sharing"",""พิจิตร!I98"")"),3)</f>
        <v>3</v>
      </c>
      <c r="J173" s="188">
        <f ca="1">IFERROR(__xludf.DUMMYFUNCTION("IMPORTRANGE(""https://docs.google.com/spreadsheets/d/11923uPwbBZFjjGgGUA6NLw09EwE0CqkOc4q9oUmW1yo/edit?usp=sharing"",""พิจิตร!J98"")"),3)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IFERROR(__xludf.DUMMYFUNCTION("IMPORTRANGE(""https://docs.google.com/spreadsheets/d/11923uPwbBZFjjGgGUA6NLw09EwE0CqkOc4q9oUmW1yo/edit?usp=sharing"",""พิจิตร!J99"")"),0)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IFERROR(__xludf.DUMMYFUNCTION("IMPORTRANGE(""https://docs.google.com/spreadsheets/d/11923uPwbBZFjjGgGUA6NLw09EwE0CqkOc4q9oUmW1yo/edit?usp=sharing"",""พิจิตร!J100"")"),0)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IFERROR(__xludf.DUMMYFUNCTION("IMPORTRANGE(""https://docs.google.com/spreadsheets/d/11923uPwbBZFjjGgGUA6NLw09EwE0CqkOc4q9oUmW1yo/edit?usp=sharing"",""พิจิตร!I101"")"),0)</f>
        <v>0</v>
      </c>
      <c r="J176" s="284">
        <f ca="1">IFERROR(__xludf.DUMMYFUNCTION("IMPORTRANGE(""https://docs.google.com/spreadsheets/d/11923uPwbBZFjjGgGUA6NLw09EwE0CqkOc4q9oUmW1yo/edit?usp=sharing"",""พิจิตร!J101"")"),0)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IFERROR(__xludf.DUMMYFUNCTION("IMPORTRANGE(""https://docs.google.com/spreadsheets/d/11923uPwbBZFjjGgGUA6NLw09EwE0CqkOc4q9oUmW1yo/edit?usp=sharing"",""พิจิตร!J106"")"),0)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IFERROR(__xludf.DUMMYFUNCTION("IMPORTRANGE(""https://docs.google.com/spreadsheets/d/11923uPwbBZFjjGgGUA6NLw09EwE0CqkOc4q9oUmW1yo/edit?usp=sharing"",""พิจิตร!J107"")"),0)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IFERROR(__xludf.DUMMYFUNCTION("IMPORTRANGE(""https://docs.google.com/spreadsheets/d/11923uPwbBZFjjGgGUA6NLw09EwE0CqkOc4q9oUmW1yo/edit?usp=sharing"",""พิจิตร!J108"")"),0)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IFERROR(__xludf.DUMMYFUNCTION("IMPORTRANGE(""https://docs.google.com/spreadsheets/d/11923uPwbBZFjjGgGUA6NLw09EwE0CqkOc4q9oUmW1yo/edit?usp=sharing"",""พิจิตร!J109"")"),0)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IFERROR(__xludf.DUMMYFUNCTION("IMPORTRANGE(""https://docs.google.com/spreadsheets/d/11923uPwbBZFjjGgGUA6NLw09EwE0CqkOc4q9oUmW1yo/edit?usp=sharing"",""พิจิตร!I110"")"),0)</f>
        <v>0</v>
      </c>
      <c r="J185" s="203">
        <f ca="1">IFERROR(__xludf.DUMMYFUNCTION("IMPORTRANGE(""https://docs.google.com/spreadsheets/d/11923uPwbBZFjjGgGUA6NLw09EwE0CqkOc4q9oUmW1yo/edit?usp=sharing"",""พิจิตร!J110"")"),0)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IFERROR(__xludf.DUMMYFUNCTION("IMPORTRANGE(""https://docs.google.com/spreadsheets/d/11923uPwbBZFjjGgGUA6NLw09EwE0CqkOc4q9oUmW1yo/edit?usp=sharing"",""พิจิตร!I111"")"),0)</f>
        <v>0</v>
      </c>
      <c r="J186" s="203">
        <f ca="1">IFERROR(__xludf.DUMMYFUNCTION("IMPORTRANGE(""https://docs.google.com/spreadsheets/d/11923uPwbBZFjjGgGUA6NLw09EwE0CqkOc4q9oUmW1yo/edit?usp=sharing"",""พิจิตร!J111"")"),0)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IFERROR(__xludf.DUMMYFUNCTION("IMPORTRANGE(""https://docs.google.com/spreadsheets/d/11923uPwbBZFjjGgGUA6NLw09EwE0CqkOc4q9oUmW1yo/edit?usp=sharing"",""พิจิตร!J112"")"),0)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IFERROR(__xludf.DUMMYFUNCTION("IMPORTRANGE(""https://docs.google.com/spreadsheets/d/11923uPwbBZFjjGgGUA6NLw09EwE0CqkOc4q9oUmW1yo/edit?usp=sharing"",""พิจิตร!J113"")"),0)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IFERROR(__xludf.DUMMYFUNCTION("IMPORTRANGE(""https://docs.google.com/spreadsheets/d/11923uPwbBZFjjGgGUA6NLw09EwE0CqkOc4q9oUmW1yo/edit?usp=sharing"",""พิจิตร!I114"")"),20000)</f>
        <v>20000</v>
      </c>
      <c r="J189" s="284">
        <f ca="1">IFERROR(__xludf.DUMMYFUNCTION("IMPORTRANGE(""https://docs.google.com/spreadsheets/d/11923uPwbBZFjjGgGUA6NLw09EwE0CqkOc4q9oUmW1yo/edit?usp=sharing"",""พิจิตร!J114"")"),0)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IFERROR(__xludf.DUMMYFUNCTION("IMPORTRANGE(""https://docs.google.com/spreadsheets/d/11923uPwbBZFjjGgGUA6NLw09EwE0CqkOc4q9oUmW1yo/edit?usp=sharing"",""พิจิตร!J119"")"),0)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IFERROR(__xludf.DUMMYFUNCTION("IMPORTRANGE(""https://docs.google.com/spreadsheets/d/11923uPwbBZFjjGgGUA6NLw09EwE0CqkOc4q9oUmW1yo/edit?usp=sharing"",""พิจิตร!J120"")"),1)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IFERROR(__xludf.DUMMYFUNCTION("IMPORTRANGE(""https://docs.google.com/spreadsheets/d/11923uPwbBZFjjGgGUA6NLw09EwE0CqkOc4q9oUmW1yo/edit?usp=sharing"",""พิจิตร!J121"")"),0)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IFERROR(__xludf.DUMMYFUNCTION("IMPORTRANGE(""https://docs.google.com/spreadsheets/d/11923uPwbBZFjjGgGUA6NLw09EwE0CqkOc4q9oUmW1yo/edit?usp=sharing"",""พิจิตร!J122"")"),1)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IFERROR(__xludf.DUMMYFUNCTION("IMPORTRANGE(""https://docs.google.com/spreadsheets/d/11923uPwbBZFjjGgGUA6NLw09EwE0CqkOc4q9oUmW1yo/edit?usp=sharing"",""พิจิตร!I124"")"),20000)</f>
        <v>20000</v>
      </c>
      <c r="J199" s="188">
        <f ca="1">IFERROR(__xludf.DUMMYFUNCTION("IMPORTRANGE(""https://docs.google.com/spreadsheets/d/11923uPwbBZFjjGgGUA6NLw09EwE0CqkOc4q9oUmW1yo/edit?usp=sharing"",""พิจิตร!J124"")"),0)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IFERROR(__xludf.DUMMYFUNCTION("IMPORTRANGE(""https://docs.google.com/spreadsheets/d/11923uPwbBZFjjGgGUA6NLw09EwE0CqkOc4q9oUmW1yo/edit?usp=sharing"",""พิจิตร!I125"")"),20000)</f>
        <v>20000</v>
      </c>
      <c r="J200" s="188">
        <f ca="1">IFERROR(__xludf.DUMMYFUNCTION("IMPORTRANGE(""https://docs.google.com/spreadsheets/d/11923uPwbBZFjjGgGUA6NLw09EwE0CqkOc4q9oUmW1yo/edit?usp=sharing"",""พิจิตร!J125"")"),0)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IFERROR(__xludf.DUMMYFUNCTION("IMPORTRANGE(""https://docs.google.com/spreadsheets/d/11923uPwbBZFjjGgGUA6NLw09EwE0CqkOc4q9oUmW1yo/edit?usp=sharing"",""พิจิตร!I126"")"),0)</f>
        <v>0</v>
      </c>
      <c r="J201" s="188">
        <f ca="1">IFERROR(__xludf.DUMMYFUNCTION("IMPORTRANGE(""https://docs.google.com/spreadsheets/d/11923uPwbBZFjjGgGUA6NLw09EwE0CqkOc4q9oUmW1yo/edit?usp=sharing"",""พิจิตร!J126"")"),0)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IFERROR(__xludf.DUMMYFUNCTION("IMPORTRANGE(""https://docs.google.com/spreadsheets/d/11923uPwbBZFjjGgGUA6NLw09EwE0CqkOc4q9oUmW1yo/edit?usp=sharing"",""พิจิตร!J127"")"),0)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IFERROR(__xludf.DUMMYFUNCTION("IMPORTRANGE(""https://docs.google.com/spreadsheets/d/11923uPwbBZFjjGgGUA6NLw09EwE0CqkOc4q9oUmW1yo/edit?usp=sharing"",""พิจิตร!J128"")"),0)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IFERROR(__xludf.DUMMYFUNCTION("IMPORTRANGE(""https://docs.google.com/spreadsheets/d/11923uPwbBZFjjGgGUA6NLw09EwE0CqkOc4q9oUmW1yo/edit?usp=sharing"",""พิจิตร!I129"")"),0)</f>
        <v>0</v>
      </c>
      <c r="J204" s="284">
        <f ca="1">IFERROR(__xludf.DUMMYFUNCTION("IMPORTRANGE(""https://docs.google.com/spreadsheets/d/11923uPwbBZFjjGgGUA6NLw09EwE0CqkOc4q9oUmW1yo/edit?usp=sharing"",""พิจิตร!J129"")"),0)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IFERROR(__xludf.DUMMYFUNCTION("IMPORTRANGE(""https://docs.google.com/spreadsheets/d/11923uPwbBZFjjGgGUA6NLw09EwE0CqkOc4q9oUmW1yo/edit?usp=sharing"",""พิจิตร!J134"")"),0)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IFERROR(__xludf.DUMMYFUNCTION("IMPORTRANGE(""https://docs.google.com/spreadsheets/d/11923uPwbBZFjjGgGUA6NLw09EwE0CqkOc4q9oUmW1yo/edit?usp=sharing"",""พิจิตร!J135"")"),0)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IFERROR(__xludf.DUMMYFUNCTION("IMPORTRANGE(""https://docs.google.com/spreadsheets/d/11923uPwbBZFjjGgGUA6NLw09EwE0CqkOc4q9oUmW1yo/edit?usp=sharing"",""พิจิตร!J136"")"),0)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IFERROR(__xludf.DUMMYFUNCTION("IMPORTRANGE(""https://docs.google.com/spreadsheets/d/11923uPwbBZFjjGgGUA6NLw09EwE0CqkOc4q9oUmW1yo/edit?usp=sharing"",""พิจิตร!J137"")"),0)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IFERROR(__xludf.DUMMYFUNCTION("IMPORTRANGE(""https://docs.google.com/spreadsheets/d/11923uPwbBZFjjGgGUA6NLw09EwE0CqkOc4q9oUmW1yo/edit?usp=sharing"",""พิจิตร!I138"")"),0)</f>
        <v>0</v>
      </c>
      <c r="J213" s="203">
        <f ca="1">IFERROR(__xludf.DUMMYFUNCTION("IMPORTRANGE(""https://docs.google.com/spreadsheets/d/11923uPwbBZFjjGgGUA6NLw09EwE0CqkOc4q9oUmW1yo/edit?usp=sharing"",""พิจิตร!J138"")"),0)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IFERROR(__xludf.DUMMYFUNCTION("IMPORTRANGE(""https://docs.google.com/spreadsheets/d/11923uPwbBZFjjGgGUA6NLw09EwE0CqkOc4q9oUmW1yo/edit?usp=sharing"",""พิจิตร!I140"")"),0)</f>
        <v>0</v>
      </c>
      <c r="J215" s="203">
        <f ca="1">IFERROR(__xludf.DUMMYFUNCTION("IMPORTRANGE(""https://docs.google.com/spreadsheets/d/11923uPwbBZFjjGgGUA6NLw09EwE0CqkOc4q9oUmW1yo/edit?usp=sharing"",""พิจิตร!J140"")"),0)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IFERROR(__xludf.DUMMYFUNCTION("IMPORTRANGE(""https://docs.google.com/spreadsheets/d/11923uPwbBZFjjGgGUA6NLw09EwE0CqkOc4q9oUmW1yo/edit?usp=sharing"",""พิจิตร!I141"")"),0)</f>
        <v>0</v>
      </c>
      <c r="J216" s="203">
        <f ca="1">IFERROR(__xludf.DUMMYFUNCTION("IMPORTRANGE(""https://docs.google.com/spreadsheets/d/11923uPwbBZFjjGgGUA6NLw09EwE0CqkOc4q9oUmW1yo/edit?usp=sharing"",""พิจิตร!J141"")"),0)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IFERROR(__xludf.DUMMYFUNCTION("IMPORTRANGE(""https://docs.google.com/spreadsheets/d/11923uPwbBZFjjGgGUA6NLw09EwE0CqkOc4q9oUmW1yo/edit?usp=sharing"",""พิจิตร!J142"")"),0)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IFERROR(__xludf.DUMMYFUNCTION("IMPORTRANGE(""https://docs.google.com/spreadsheets/d/11923uPwbBZFjjGgGUA6NLw09EwE0CqkOc4q9oUmW1yo/edit?usp=sharing"",""พิจิตร!J143"")"),0)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IFERROR(__xludf.DUMMYFUNCTION("IMPORTRANGE(""https://docs.google.com/spreadsheets/d/11923uPwbBZFjjGgGUA6NLw09EwE0CqkOc4q9oUmW1yo/edit?usp=sharing"",""พิจิตร!I144"")"),15)</f>
        <v>15</v>
      </c>
      <c r="J219" s="267">
        <f ca="1">IFERROR(__xludf.DUMMYFUNCTION("IMPORTRANGE(""https://docs.google.com/spreadsheets/d/11923uPwbBZFjjGgGUA6NLw09EwE0CqkOc4q9oUmW1yo/edit?usp=sharing"",""พิจิตร!J144"")"),15)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IFERROR(__xludf.DUMMYFUNCTION("IMPORTRANGE(""https://docs.google.com/spreadsheets/d/1Yj_ptqi66GCucihVvJfMjLAmec39IyEx_6qawtMGysU/edit?usp=sharing"",""สบก!BS27"")"),21125)</f>
        <v>21125</v>
      </c>
      <c r="N224" s="168">
        <f ca="1">IFERROR(__xludf.DUMMYFUNCTION("IMPORTRANGE(""https://docs.google.com/spreadsheets/d/1Yj_ptqi66GCucihVvJfMjLAmec39IyEx_6qawtMGysU/edit?usp=sharing"",""สบก!BT27"")"),21125)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IFERROR(__xludf.DUMMYFUNCTION("IMPORTRANGE(""https://docs.google.com/spreadsheets/d/1Yj_ptqi66GCucihVvJfMjLAmec39IyEx_6qawtMGysU/edit?usp=sharing"",""สบก!BO27"")"),0)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IFERROR(__xludf.DUMMYFUNCTION("IMPORTRANGE(""https://docs.google.com/spreadsheets/d/1Yj_ptqi66GCucihVvJfMjLAmec39IyEx_6qawtMGysU/edit?usp=sharing"",""สบก!BP27"")"),21125)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IFERROR(__xludf.DUMMYFUNCTION("IMPORTRANGE(""https://docs.google.com/spreadsheets/d/1Yj_ptqi66GCucihVvJfMjLAmec39IyEx_6qawtMGysU/edit?usp=sharing"",""สบก!BQ27"")"),0)</f>
        <v>0</v>
      </c>
      <c r="M228" s="50"/>
      <c r="N228" s="50">
        <f ca="1">IFERROR(__xludf.DUMMYFUNCTION("IMPORTRANGE(""https://docs.google.com/spreadsheets/d/1Yj_ptqi66GCucihVvJfMjLAmec39IyEx_6qawtMGysU/edit?usp=sharing"",""สบก!BU27"")"),0)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IFERROR(__xludf.DUMMYFUNCTION("IMPORTRANGE(""https://docs.google.com/spreadsheets/d/11923uPwbBZFjjGgGUA6NLw09EwE0CqkOc4q9oUmW1yo/edit?usp=sharing"",""พิจิตร!I149"")"),15)</f>
        <v>15</v>
      </c>
      <c r="J229" s="267">
        <f ca="1">IFERROR(__xludf.DUMMYFUNCTION("IMPORTRANGE(""https://docs.google.com/spreadsheets/d/11923uPwbBZFjjGgGUA6NLw09EwE0CqkOc4q9oUmW1yo/edit?usp=sharing"",""พิจิตร!J149"")"),15)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IFERROR(__xludf.DUMMYFUNCTION("IMPORTRANGE(""https://docs.google.com/spreadsheets/d/11923uPwbBZFjjGgGUA6NLw09EwE0CqkOc4q9oUmW1yo/edit?usp=sharing"",""พิจิตร!J151"")"),0)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IFERROR(__xludf.DUMMYFUNCTION("IMPORTRANGE(""https://docs.google.com/spreadsheets/d/11923uPwbBZFjjGgGUA6NLw09EwE0CqkOc4q9oUmW1yo/edit?usp=sharing"",""พิจิตร!J152"")"),0)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IFERROR(__xludf.DUMMYFUNCTION("IMPORTRANGE(""https://docs.google.com/spreadsheets/d/11923uPwbBZFjjGgGUA6NLw09EwE0CqkOc4q9oUmW1yo/edit?usp=sharing"",""พิจิตร!J153"")"),0)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IFERROR(__xludf.DUMMYFUNCTION("IMPORTRANGE(""https://docs.google.com/spreadsheets/d/11923uPwbBZFjjGgGUA6NLw09EwE0CqkOc4q9oUmW1yo/edit?usp=sharing"",""พิจิตร!J154"")"),0)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IFERROR(__xludf.DUMMYFUNCTION("IMPORTRANGE(""https://docs.google.com/spreadsheets/d/11923uPwbBZFjjGgGUA6NLw09EwE0CqkOc4q9oUmW1yo/edit?usp=sharing"",""พิจิตร!I155"")"),15)</f>
        <v>15</v>
      </c>
      <c r="J235" s="188">
        <f ca="1">IFERROR(__xludf.DUMMYFUNCTION("IMPORTRANGE(""https://docs.google.com/spreadsheets/d/11923uPwbBZFjjGgGUA6NLw09EwE0CqkOc4q9oUmW1yo/edit?usp=sharing"",""พิจิตร!J155"")"),15)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IFERROR(__xludf.DUMMYFUNCTION("IMPORTRANGE(""https://docs.google.com/spreadsheets/d/11923uPwbBZFjjGgGUA6NLw09EwE0CqkOc4q9oUmW1yo/edit?usp=sharing"",""พิจิตร!J156"")"),1)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IFERROR(__xludf.DUMMYFUNCTION("IMPORTRANGE(""https://docs.google.com/spreadsheets/d/11923uPwbBZFjjGgGUA6NLw09EwE0CqkOc4q9oUmW1yo/edit?usp=sharing"",""พิจิตร!J157"")"),1)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IFERROR(__xludf.DUMMYFUNCTION("IMPORTRANGE(""https://docs.google.com/spreadsheets/d/11923uPwbBZFjjGgGUA6NLw09EwE0CqkOc4q9oUmW1yo/edit?usp=sharing"",""พิจิตร!I158"")"),0)</f>
        <v>0</v>
      </c>
      <c r="J238" s="267">
        <f ca="1">IFERROR(__xludf.DUMMYFUNCTION("IMPORTRANGE(""https://docs.google.com/spreadsheets/d/11923uPwbBZFjjGgGUA6NLw09EwE0CqkOc4q9oUmW1yo/edit?usp=sharing"",""พิจิตร!J158"")"),0)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IFERROR(__xludf.DUMMYFUNCTION("IMPORTRANGE(""https://docs.google.com/spreadsheets/d/11923uPwbBZFjjGgGUA6NLw09EwE0CqkOc4q9oUmW1yo/edit?usp=sharing"",""พิจิตร!J159"")"),"")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IFERROR(__xludf.DUMMYFUNCTION("IMPORTRANGE(""https://docs.google.com/spreadsheets/d/11923uPwbBZFjjGgGUA6NLw09EwE0CqkOc4q9oUmW1yo/edit?usp=sharing"",""พิจิตร!J161"")"),0)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IFERROR(__xludf.DUMMYFUNCTION("IMPORTRANGE(""https://docs.google.com/spreadsheets/d/11923uPwbBZFjjGgGUA6NLw09EwE0CqkOc4q9oUmW1yo/edit?usp=sharing"",""พิจิตร!J162"")"),0)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IFERROR(__xludf.DUMMYFUNCTION("IMPORTRANGE(""https://docs.google.com/spreadsheets/d/11923uPwbBZFjjGgGUA6NLw09EwE0CqkOc4q9oUmW1yo/edit?usp=sharing"",""พิจิตร!J163"")"),0)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IFERROR(__xludf.DUMMYFUNCTION("IMPORTRANGE(""https://docs.google.com/spreadsheets/d/11923uPwbBZFjjGgGUA6NLw09EwE0CqkOc4q9oUmW1yo/edit?usp=sharing"",""พิจิตร!I164"")"),0)</f>
        <v>0</v>
      </c>
      <c r="J244" s="187">
        <f ca="1">IFERROR(__xludf.DUMMYFUNCTION("IMPORTRANGE(""https://docs.google.com/spreadsheets/d/11923uPwbBZFjjGgGUA6NLw09EwE0CqkOc4q9oUmW1yo/edit?usp=sharing"",""พิจิตร!J164"")"),0)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IFERROR(__xludf.DUMMYFUNCTION("IMPORTRANGE(""https://docs.google.com/spreadsheets/d/11923uPwbBZFjjGgGUA6NLw09EwE0CqkOc4q9oUmW1yo/edit?usp=sharing"",""พิจิตร!J165"")"),0)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IFERROR(__xludf.DUMMYFUNCTION("IMPORTRANGE(""https://docs.google.com/spreadsheets/d/11923uPwbBZFjjGgGUA6NLw09EwE0CqkOc4q9oUmW1yo/edit?usp=sharing"",""พิจิตร!J166"")"),0)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IFERROR(__xludf.DUMMYFUNCTION("IMPORTRANGE(""https://docs.google.com/spreadsheets/d/11923uPwbBZFjjGgGUA6NLw09EwE0CqkOc4q9oUmW1yo/edit?usp=sharing"",""พิจิตร!I169"")"),0)</f>
        <v>0</v>
      </c>
      <c r="J249" s="316">
        <f ca="1">IFERROR(__xludf.DUMMYFUNCTION("IMPORTRANGE(""https://docs.google.com/spreadsheets/d/11923uPwbBZFjjGgGUA6NLw09EwE0CqkOc4q9oUmW1yo/edit?usp=sharing"",""พิจิตร!J169"")"),0)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IFERROR(__xludf.DUMMYFUNCTION("IMPORTRANGE(""https://docs.google.com/spreadsheets/d/1Yj_ptqi66GCucihVvJfMjLAmec39IyEx_6qawtMGysU/edit?usp=sharing"",""สบก!CB27"")"),0)</f>
        <v>0</v>
      </c>
      <c r="N254" s="168">
        <f ca="1">IFERROR(__xludf.DUMMYFUNCTION("IMPORTRANGE(""https://docs.google.com/spreadsheets/d/1Yj_ptqi66GCucihVvJfMjLAmec39IyEx_6qawtMGysU/edit?usp=sharing"",""สบก!CC27"")"),0)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IFERROR(__xludf.DUMMYFUNCTION("IMPORTRANGE(""https://docs.google.com/spreadsheets/d/1Yj_ptqi66GCucihVvJfMjLAmec39IyEx_6qawtMGysU/edit?usp=sharing"",""สบก!BX27"")"),0)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IFERROR(__xludf.DUMMYFUNCTION("IMPORTRANGE(""https://docs.google.com/spreadsheets/d/1Yj_ptqi66GCucihVvJfMjLAmec39IyEx_6qawtMGysU/edit?usp=sharing"",""สบก!BY27"")"),0)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IFERROR(__xludf.DUMMYFUNCTION("IMPORTRANGE(""https://docs.google.com/spreadsheets/d/1Yj_ptqi66GCucihVvJfMjLAmec39IyEx_6qawtMGysU/edit?usp=sharing"",""สบก!BZ27"")"),0)</f>
        <v>0</v>
      </c>
      <c r="M258" s="50"/>
      <c r="N258" s="50">
        <f ca="1">IFERROR(__xludf.DUMMYFUNCTION("IMPORTRANGE(""https://docs.google.com/spreadsheets/d/1Yj_ptqi66GCucihVvJfMjLAmec39IyEx_6qawtMGysU/edit?usp=sharing"",""สบก!CD27"")"),0)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IFERROR(__xludf.DUMMYFUNCTION("IMPORTRANGE(""https://docs.google.com/spreadsheets/d/11923uPwbBZFjjGgGUA6NLw09EwE0CqkOc4q9oUmW1yo/edit?usp=sharing"",""พิจิตร!J175"")"),0)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IFERROR(__xludf.DUMMYFUNCTION("IMPORTRANGE(""https://docs.google.com/spreadsheets/d/11923uPwbBZFjjGgGUA6NLw09EwE0CqkOc4q9oUmW1yo/edit?usp=sharing"",""พิจิตร!J176"")"),0)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IFERROR(__xludf.DUMMYFUNCTION("IMPORTRANGE(""https://docs.google.com/spreadsheets/d/11923uPwbBZFjjGgGUA6NLw09EwE0CqkOc4q9oUmW1yo/edit?usp=sharing"",""พิจิตร!J177"")"),0)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IFERROR(__xludf.DUMMYFUNCTION("IMPORTRANGE(""https://docs.google.com/spreadsheets/d/11923uPwbBZFjjGgGUA6NLw09EwE0CqkOc4q9oUmW1yo/edit?usp=sharing"",""พิจิตร!J178"")"),0)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IFERROR(__xludf.DUMMYFUNCTION("IMPORTRANGE(""https://docs.google.com/spreadsheets/d/11923uPwbBZFjjGgGUA6NLw09EwE0CqkOc4q9oUmW1yo/edit?usp=sharing"",""พิจิตร!I179"")"),0)</f>
        <v>0</v>
      </c>
      <c r="J264" s="188">
        <f ca="1">IFERROR(__xludf.DUMMYFUNCTION("IMPORTRANGE(""https://docs.google.com/spreadsheets/d/11923uPwbBZFjjGgGUA6NLw09EwE0CqkOc4q9oUmW1yo/edit?usp=sharing"",""พิจิตร!J179"")"),0)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IFERROR(__xludf.DUMMYFUNCTION("IMPORTRANGE(""https://docs.google.com/spreadsheets/d/11923uPwbBZFjjGgGUA6NLw09EwE0CqkOc4q9oUmW1yo/edit?usp=sharing"",""พิจิตร!I180"")"),0)</f>
        <v>0</v>
      </c>
      <c r="J265" s="188">
        <f ca="1">IFERROR(__xludf.DUMMYFUNCTION("IMPORTRANGE(""https://docs.google.com/spreadsheets/d/11923uPwbBZFjjGgGUA6NLw09EwE0CqkOc4q9oUmW1yo/edit?usp=sharing"",""พิจิตร!J180"")"),0)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IFERROR(__xludf.DUMMYFUNCTION("IMPORTRANGE(""https://docs.google.com/spreadsheets/d/11923uPwbBZFjjGgGUA6NLw09EwE0CqkOc4q9oUmW1yo/edit?usp=sharing"",""พิจิตร!I181"")"),0)</f>
        <v>0</v>
      </c>
      <c r="J266" s="188">
        <f ca="1">IFERROR(__xludf.DUMMYFUNCTION("IMPORTRANGE(""https://docs.google.com/spreadsheets/d/11923uPwbBZFjjGgGUA6NLw09EwE0CqkOc4q9oUmW1yo/edit?usp=sharing"",""พิจิตร!J181"")"),0)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IFERROR(__xludf.DUMMYFUNCTION("IMPORTRANGE(""https://docs.google.com/spreadsheets/d/11923uPwbBZFjjGgGUA6NLw09EwE0CqkOc4q9oUmW1yo/edit?usp=sharing"",""พิจิตร!I182"")"),0)</f>
        <v>0</v>
      </c>
      <c r="J267" s="188">
        <f ca="1">IFERROR(__xludf.DUMMYFUNCTION("IMPORTRANGE(""https://docs.google.com/spreadsheets/d/11923uPwbBZFjjGgGUA6NLw09EwE0CqkOc4q9oUmW1yo/edit?usp=sharing"",""พิจิตร!J182"")"),0)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IFERROR(__xludf.DUMMYFUNCTION("IMPORTRANGE(""https://docs.google.com/spreadsheets/d/11923uPwbBZFjjGgGUA6NLw09EwE0CqkOc4q9oUmW1yo/edit?usp=sharing"",""พิจิตร!J183"")"),0)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IFERROR(__xludf.DUMMYFUNCTION("IMPORTRANGE(""https://docs.google.com/spreadsheets/d/11923uPwbBZFjjGgGUA6NLw09EwE0CqkOc4q9oUmW1yo/edit?usp=sharing"",""พิจิตร!J184"")"),0)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IFERROR(__xludf.DUMMYFUNCTION("IMPORTRANGE(""https://docs.google.com/spreadsheets/d/11923uPwbBZFjjGgGUA6NLw09EwE0CqkOc4q9oUmW1yo/edit?usp=sharing"",""พิจิตร!I185"")"),0)</f>
        <v>0</v>
      </c>
      <c r="J270" s="316">
        <f ca="1">IFERROR(__xludf.DUMMYFUNCTION("IMPORTRANGE(""https://docs.google.com/spreadsheets/d/11923uPwbBZFjjGgGUA6NLw09EwE0CqkOc4q9oUmW1yo/edit?usp=sharing"",""พิจิตร!J185"")"),0)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IFERROR(__xludf.DUMMYFUNCTION("IMPORTRANGE(""https://docs.google.com/spreadsheets/d/1Yj_ptqi66GCucihVvJfMjLAmec39IyEx_6qawtMGysU/edit?usp=sharing"",""สบก!CK27"")"),0)</f>
        <v>0</v>
      </c>
      <c r="N275" s="168">
        <f ca="1">IFERROR(__xludf.DUMMYFUNCTION("IMPORTRANGE(""https://docs.google.com/spreadsheets/d/1Yj_ptqi66GCucihVvJfMjLAmec39IyEx_6qawtMGysU/edit?usp=sharing"",""สบก!CL27"")"),0)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IFERROR(__xludf.DUMMYFUNCTION("IMPORTRANGE(""https://docs.google.com/spreadsheets/d/1Yj_ptqi66GCucihVvJfMjLAmec39IyEx_6qawtMGysU/edit?usp=sharing"",""สบก!CG27"")"),0)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IFERROR(__xludf.DUMMYFUNCTION("IMPORTRANGE(""https://docs.google.com/spreadsheets/d/1Yj_ptqi66GCucihVvJfMjLAmec39IyEx_6qawtMGysU/edit?usp=sharing"",""สบก!CH27"")"),0)</f>
        <v>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IFERROR(__xludf.DUMMYFUNCTION("IMPORTRANGE(""https://docs.google.com/spreadsheets/d/1Yj_ptqi66GCucihVvJfMjLAmec39IyEx_6qawtMGysU/edit?usp=sharing"",""สบก!CI27"")"),0)</f>
        <v>0</v>
      </c>
      <c r="M279" s="50"/>
      <c r="N279" s="50">
        <f ca="1">IFERROR(__xludf.DUMMYFUNCTION("IMPORTRANGE(""https://docs.google.com/spreadsheets/d/1Yj_ptqi66GCucihVvJfMjLAmec39IyEx_6qawtMGysU/edit?usp=sharing"",""สบก!CM27"")"),0)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IFERROR(__xludf.DUMMYFUNCTION("IMPORTRANGE(""https://docs.google.com/spreadsheets/d/11923uPwbBZFjjGgGUA6NLw09EwE0CqkOc4q9oUmW1yo/edit?usp=sharing"",""พิจิตร!J191"")"),0)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IFERROR(__xludf.DUMMYFUNCTION("IMPORTRANGE(""https://docs.google.com/spreadsheets/d/11923uPwbBZFjjGgGUA6NLw09EwE0CqkOc4q9oUmW1yo/edit?usp=sharing"",""พิจิตร!J192"")"),0)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IFERROR(__xludf.DUMMYFUNCTION("IMPORTRANGE(""https://docs.google.com/spreadsheets/d/11923uPwbBZFjjGgGUA6NLw09EwE0CqkOc4q9oUmW1yo/edit?usp=sharing"",""พิจิตร!J193"")"),0)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IFERROR(__xludf.DUMMYFUNCTION("IMPORTRANGE(""https://docs.google.com/spreadsheets/d/11923uPwbBZFjjGgGUA6NLw09EwE0CqkOc4q9oUmW1yo/edit?usp=sharing"",""พิจิตร!J194"")"),0)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IFERROR(__xludf.DUMMYFUNCTION("IMPORTRANGE(""https://docs.google.com/spreadsheets/d/11923uPwbBZFjjGgGUA6NLw09EwE0CqkOc4q9oUmW1yo/edit?usp=sharing"",""พิจิตร!I195"")"),0)</f>
        <v>0</v>
      </c>
      <c r="J285" s="188">
        <f ca="1">IFERROR(__xludf.DUMMYFUNCTION("IMPORTRANGE(""https://docs.google.com/spreadsheets/d/11923uPwbBZFjjGgGUA6NLw09EwE0CqkOc4q9oUmW1yo/edit?usp=sharing"",""พิจิตร!J195"")"),0)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IFERROR(__xludf.DUMMYFUNCTION("IMPORTRANGE(""https://docs.google.com/spreadsheets/d/11923uPwbBZFjjGgGUA6NLw09EwE0CqkOc4q9oUmW1yo/edit?usp=sharing"",""พิจิตร!J196"")"),0)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IFERROR(__xludf.DUMMYFUNCTION("IMPORTRANGE(""https://docs.google.com/spreadsheets/d/11923uPwbBZFjjGgGUA6NLw09EwE0CqkOc4q9oUmW1yo/edit?usp=sharing"",""พิจิตร!J197"")"),0)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IFERROR(__xludf.DUMMYFUNCTION("IMPORTRANGE(""https://docs.google.com/spreadsheets/d/11923uPwbBZFjjGgGUA6NLw09EwE0CqkOc4q9oUmW1yo/edit?usp=sharing"",""พิจิตร!I199"")"),0)</f>
        <v>0</v>
      </c>
      <c r="J289" s="316">
        <f ca="1">IFERROR(__xludf.DUMMYFUNCTION("IMPORTRANGE(""https://docs.google.com/spreadsheets/d/11923uPwbBZFjjGgGUA6NLw09EwE0CqkOc4q9oUmW1yo/edit?usp=sharing"",""พิจิตร!J199"")"),0)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IFERROR(__xludf.DUMMYFUNCTION("IMPORTRANGE(""https://docs.google.com/spreadsheets/d/1Yj_ptqi66GCucihVvJfMjLAmec39IyEx_6qawtMGysU/edit?usp=sharing"",""สบก!CT27"")"),0)</f>
        <v>0</v>
      </c>
      <c r="N294" s="168">
        <f ca="1">IFERROR(__xludf.DUMMYFUNCTION("IMPORTRANGE(""https://docs.google.com/spreadsheets/d/1Yj_ptqi66GCucihVvJfMjLAmec39IyEx_6qawtMGysU/edit?usp=sharing"",""สบก!CU27"")"),0)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IFERROR(__xludf.DUMMYFUNCTION("IMPORTRANGE(""https://docs.google.com/spreadsheets/d/1Yj_ptqi66GCucihVvJfMjLAmec39IyEx_6qawtMGysU/edit?usp=sharing"",""สบก!CP27"")"),0)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IFERROR(__xludf.DUMMYFUNCTION("IMPORTRANGE(""https://docs.google.com/spreadsheets/d/1Yj_ptqi66GCucihVvJfMjLAmec39IyEx_6qawtMGysU/edit?usp=sharing"",""สบก!CQ27"")"),0)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IFERROR(__xludf.DUMMYFUNCTION("IMPORTRANGE(""https://docs.google.com/spreadsheets/d/1Yj_ptqi66GCucihVvJfMjLAmec39IyEx_6qawtMGysU/edit?usp=sharing"",""สบก!CR27"")"),0)</f>
        <v>0</v>
      </c>
      <c r="M298" s="50"/>
      <c r="N298" s="50">
        <f ca="1">IFERROR(__xludf.DUMMYFUNCTION("IMPORTRANGE(""https://docs.google.com/spreadsheets/d/1Yj_ptqi66GCucihVvJfMjLAmec39IyEx_6qawtMGysU/edit?usp=sharing"",""สบก!CV27"")"),0)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IFERROR(__xludf.DUMMYFUNCTION("IMPORTRANGE(""https://docs.google.com/spreadsheets/d/11923uPwbBZFjjGgGUA6NLw09EwE0CqkOc4q9oUmW1yo/edit?usp=sharing"",""พิจิตร!J205"")"),0)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IFERROR(__xludf.DUMMYFUNCTION("IMPORTRANGE(""https://docs.google.com/spreadsheets/d/11923uPwbBZFjjGgGUA6NLw09EwE0CqkOc4q9oUmW1yo/edit?usp=sharing"",""พิจิตร!J206"")"),0)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IFERROR(__xludf.DUMMYFUNCTION("IMPORTRANGE(""https://docs.google.com/spreadsheets/d/11923uPwbBZFjjGgGUA6NLw09EwE0CqkOc4q9oUmW1yo/edit?usp=sharing"",""พิจิตร!J207"")"),0)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IFERROR(__xludf.DUMMYFUNCTION("IMPORTRANGE(""https://docs.google.com/spreadsheets/d/11923uPwbBZFjjGgGUA6NLw09EwE0CqkOc4q9oUmW1yo/edit?usp=sharing"",""พิจิตร!J208"")"),0)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IFERROR(__xludf.DUMMYFUNCTION("IMPORTRANGE(""https://docs.google.com/spreadsheets/d/11923uPwbBZFjjGgGUA6NLw09EwE0CqkOc4q9oUmW1yo/edit?usp=sharing"",""พิจิตร!I209"")"),0)</f>
        <v>0</v>
      </c>
      <c r="J304" s="203">
        <f ca="1">IFERROR(__xludf.DUMMYFUNCTION("IMPORTRANGE(""https://docs.google.com/spreadsheets/d/11923uPwbBZFjjGgGUA6NLw09EwE0CqkOc4q9oUmW1yo/edit?usp=sharing"",""พิจิตร!J209"")"),0)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IFERROR(__xludf.DUMMYFUNCTION("IMPORTRANGE(""https://docs.google.com/spreadsheets/d/11923uPwbBZFjjGgGUA6NLw09EwE0CqkOc4q9oUmW1yo/edit?usp=sharing"",""พิจิตร!I211"")"),0)</f>
        <v>0</v>
      </c>
      <c r="J306" s="203">
        <f ca="1">IFERROR(__xludf.DUMMYFUNCTION("IMPORTRANGE(""https://docs.google.com/spreadsheets/d/11923uPwbBZFjjGgGUA6NLw09EwE0CqkOc4q9oUmW1yo/edit?usp=sharing"",""พิจิตร!J211"")"),0)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IFERROR(__xludf.DUMMYFUNCTION("IMPORTRANGE(""https://docs.google.com/spreadsheets/d/11923uPwbBZFjjGgGUA6NLw09EwE0CqkOc4q9oUmW1yo/edit?usp=sharing"",""พิจิตร!J212"")"),0)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IFERROR(__xludf.DUMMYFUNCTION("IMPORTRANGE(""https://docs.google.com/spreadsheets/d/11923uPwbBZFjjGgGUA6NLw09EwE0CqkOc4q9oUmW1yo/edit?usp=sharing"",""พิจิตร!J213"")"),0)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IFERROR(__xludf.DUMMYFUNCTION("IMPORTRANGE(""https://docs.google.com/spreadsheets/d/11923uPwbBZFjjGgGUA6NLw09EwE0CqkOc4q9oUmW1yo/edit?usp=sharing"",""พิจิตร!I214"")"),0)</f>
        <v>0</v>
      </c>
      <c r="J309" s="333">
        <f ca="1">IFERROR(__xludf.DUMMYFUNCTION("IMPORTRANGE(""https://docs.google.com/spreadsheets/d/11923uPwbBZFjjGgGUA6NLw09EwE0CqkOc4q9oUmW1yo/edit?usp=sharing"",""พิจิตร!J214"")"),0)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IFERROR(__xludf.DUMMYFUNCTION("IMPORTRANGE(""https://docs.google.com/spreadsheets/d/1Yj_ptqi66GCucihVvJfMjLAmec39IyEx_6qawtMGysU/edit?usp=sharing"",""สบก!DC27"")"),0)</f>
        <v>0</v>
      </c>
      <c r="N314" s="168">
        <f ca="1">IFERROR(__xludf.DUMMYFUNCTION("IMPORTRANGE(""https://docs.google.com/spreadsheets/d/1Yj_ptqi66GCucihVvJfMjLAmec39IyEx_6qawtMGysU/edit?usp=sharing"",""สบก!DD27"")"),0)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IFERROR(__xludf.DUMMYFUNCTION("IMPORTRANGE(""https://docs.google.com/spreadsheets/d/1Yj_ptqi66GCucihVvJfMjLAmec39IyEx_6qawtMGysU/edit?usp=sharing"",""สบก!CY27"")"),0)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IFERROR(__xludf.DUMMYFUNCTION("IMPORTRANGE(""https://docs.google.com/spreadsheets/d/1Yj_ptqi66GCucihVvJfMjLAmec39IyEx_6qawtMGysU/edit?usp=sharing"",""สบก!CZ27"")"),0)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IFERROR(__xludf.DUMMYFUNCTION("IMPORTRANGE(""https://docs.google.com/spreadsheets/d/1Yj_ptqi66GCucihVvJfMjLAmec39IyEx_6qawtMGysU/edit?usp=sharing"",""สบก!DA27"")"),0)</f>
        <v>0</v>
      </c>
      <c r="M318" s="50"/>
      <c r="N318" s="50">
        <f ca="1">IFERROR(__xludf.DUMMYFUNCTION("IMPORTRANGE(""https://docs.google.com/spreadsheets/d/1Yj_ptqi66GCucihVvJfMjLAmec39IyEx_6qawtMGysU/edit?usp=sharing"",""สบก!DE27"")"),0)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IFERROR(__xludf.DUMMYFUNCTION("IMPORTRANGE(""https://docs.google.com/spreadsheets/d/11923uPwbBZFjjGgGUA6NLw09EwE0CqkOc4q9oUmW1yo/edit?usp=sharing"",""พิจิตร!J220"")"),0)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IFERROR(__xludf.DUMMYFUNCTION("IMPORTRANGE(""https://docs.google.com/spreadsheets/d/11923uPwbBZFjjGgGUA6NLw09EwE0CqkOc4q9oUmW1yo/edit?usp=sharing"",""พิจิตร!J221"")"),0)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IFERROR(__xludf.DUMMYFUNCTION("IMPORTRANGE(""https://docs.google.com/spreadsheets/d/11923uPwbBZFjjGgGUA6NLw09EwE0CqkOc4q9oUmW1yo/edit?usp=sharing"",""พิจิตร!J222"")"),0)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IFERROR(__xludf.DUMMYFUNCTION("IMPORTRANGE(""https://docs.google.com/spreadsheets/d/11923uPwbBZFjjGgGUA6NLw09EwE0CqkOc4q9oUmW1yo/edit?usp=sharing"",""พิจิตร!J223"")"),0)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IFERROR(__xludf.DUMMYFUNCTION("IMPORTRANGE(""https://docs.google.com/spreadsheets/d/11923uPwbBZFjjGgGUA6NLw09EwE0CqkOc4q9oUmW1yo/edit?usp=sharing"",""พิจิตร!I224"")"),0)</f>
        <v>0</v>
      </c>
      <c r="J324" s="203">
        <f ca="1">IFERROR(__xludf.DUMMYFUNCTION("IMPORTRANGE(""https://docs.google.com/spreadsheets/d/11923uPwbBZFjjGgGUA6NLw09EwE0CqkOc4q9oUmW1yo/edit?usp=sharing"",""พิจิตร!J224"")"),0)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IFERROR(__xludf.DUMMYFUNCTION("IMPORTRANGE(""https://docs.google.com/spreadsheets/d/11923uPwbBZFjjGgGUA6NLw09EwE0CqkOc4q9oUmW1yo/edit?usp=sharing"",""พิจิตร!J225"")"),0)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IFERROR(__xludf.DUMMYFUNCTION("IMPORTRANGE(""https://docs.google.com/spreadsheets/d/11923uPwbBZFjjGgGUA6NLw09EwE0CqkOc4q9oUmW1yo/edit?usp=sharing"",""พิจิตร!J226"")"),0)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IFERROR(__xludf.DUMMYFUNCTION("IMPORTRANGE(""https://docs.google.com/spreadsheets/d/11923uPwbBZFjjGgGUA6NLw09EwE0CqkOc4q9oUmW1yo/edit?usp=sharing"",""พิจิตร!I228"")"),530)</f>
        <v>530</v>
      </c>
      <c r="J328" s="339">
        <f ca="1">IFERROR(__xludf.DUMMYFUNCTION("IMPORTRANGE(""https://docs.google.com/spreadsheets/d/11923uPwbBZFjjGgGUA6NLw09EwE0CqkOc4q9oUmW1yo/edit?usp=sharing"",""พิจิตร!J228"")"),118)</f>
        <v>118</v>
      </c>
      <c r="K328" s="317">
        <f ca="1">IF(I328&gt;0,J328*100/I328,0)</f>
        <v>22.264150943396228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1342340</v>
      </c>
      <c r="M329" s="152">
        <f t="shared" ca="1" si="98"/>
        <v>1328440</v>
      </c>
      <c r="N329" s="152">
        <f t="shared" ca="1" si="98"/>
        <v>898561.21</v>
      </c>
      <c r="O329" s="151">
        <f t="shared" ref="O329:O331" ca="1" si="99">IF(L329&gt;0,N329*100/L329,0)</f>
        <v>66.939911646825692</v>
      </c>
      <c r="P329" s="151">
        <f t="shared" ref="P329:P331" ca="1" si="100">IF(M329&gt;0,N329*100/M329,0)</f>
        <v>67.640330763903521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1342340</v>
      </c>
      <c r="M331" s="88">
        <f t="shared" ca="1" si="102"/>
        <v>1328440</v>
      </c>
      <c r="N331" s="88">
        <f t="shared" ca="1" si="102"/>
        <v>898561.21</v>
      </c>
      <c r="O331" s="156">
        <f t="shared" ca="1" si="99"/>
        <v>66.939911646825692</v>
      </c>
      <c r="P331" s="156">
        <f t="shared" ca="1" si="100"/>
        <v>67.640330763903521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1266740</v>
      </c>
      <c r="M333" s="167">
        <f ca="1">IFERROR(__xludf.DUMMYFUNCTION("IMPORTRANGE(""https://docs.google.com/spreadsheets/d/1Yj_ptqi66GCucihVvJfMjLAmec39IyEx_6qawtMGysU/edit?usp=sharing"",""สบก!DL27"")"),1252840)</f>
        <v>1252840</v>
      </c>
      <c r="N333" s="168">
        <f ca="1">IFERROR(__xludf.DUMMYFUNCTION("IMPORTRANGE(""https://docs.google.com/spreadsheets/d/1Yj_ptqi66GCucihVvJfMjLAmec39IyEx_6qawtMGysU/edit?usp=sharing"",""สบก!DM27"")"),822961.21)</f>
        <v>822961.21</v>
      </c>
      <c r="O333" s="168">
        <f ca="1">IF(L333&gt;0,N333*100/L333,0)</f>
        <v>64.966860602807202</v>
      </c>
      <c r="P333" s="168">
        <f ca="1">IF(M333&gt;0,N333*100/M333,0)</f>
        <v>65.687654449091667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IFERROR(__xludf.DUMMYFUNCTION("IMPORTRANGE(""https://docs.google.com/spreadsheets/d/1Yj_ptqi66GCucihVvJfMjLAmec39IyEx_6qawtMGysU/edit?usp=sharing"",""สบก!DH27"")"),854600)</f>
        <v>854600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IFERROR(__xludf.DUMMYFUNCTION("IMPORTRANGE(""https://docs.google.com/spreadsheets/d/1Yj_ptqi66GCucihVvJfMjLAmec39IyEx_6qawtMGysU/edit?usp=sharing"",""สบก!DI27"")"),412140)</f>
        <v>412140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IFERROR(__xludf.DUMMYFUNCTION("IMPORTRANGE(""https://docs.google.com/spreadsheets/d/1Yj_ptqi66GCucihVvJfMjLAmec39IyEx_6qawtMGysU/edit?usp=sharing"",""สบก!DJ27"")"),75600)</f>
        <v>75600</v>
      </c>
      <c r="M337" s="50">
        <f ca="1">L337</f>
        <v>75600</v>
      </c>
      <c r="N337" s="50">
        <f ca="1">IFERROR(__xludf.DUMMYFUNCTION("IMPORTRANGE(""https://docs.google.com/spreadsheets/d/1Yj_ptqi66GCucihVvJfMjLAmec39IyEx_6qawtMGysU/edit?usp=sharing"",""สบก!DN27"")"),75600)</f>
        <v>75600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IFERROR(__xludf.DUMMYFUNCTION("IMPORTRANGE(""https://docs.google.com/spreadsheets/d/11923uPwbBZFjjGgGUA6NLw09EwE0CqkOc4q9oUmW1yo/edit?usp=sharing"",""พิจิตร!I234"")"),0)</f>
        <v>0</v>
      </c>
      <c r="J339" s="187">
        <f ca="1">IFERROR(__xludf.DUMMYFUNCTION("IMPORTRANGE(""https://docs.google.com/spreadsheets/d/11923uPwbBZFjjGgGUA6NLw09EwE0CqkOc4q9oUmW1yo/edit?usp=sharing"",""พิจิตร!J234"")"),95)</f>
        <v>95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IFERROR(__xludf.DUMMYFUNCTION("IMPORTRANGE(""https://docs.google.com/spreadsheets/d/11923uPwbBZFjjGgGUA6NLw09EwE0CqkOc4q9oUmW1yo/edit?usp=sharing"",""พิจิตร!I235"")"),1700)</f>
        <v>1700</v>
      </c>
      <c r="J340" s="187">
        <f ca="1">IFERROR(__xludf.DUMMYFUNCTION("IMPORTRANGE(""https://docs.google.com/spreadsheets/d/11923uPwbBZFjjGgGUA6NLw09EwE0CqkOc4q9oUmW1yo/edit?usp=sharing"",""พิจิตร!J235"")"),938.67)</f>
        <v>938.67</v>
      </c>
      <c r="K340" s="342">
        <f t="shared" ca="1" si="103"/>
        <v>55.215882352941179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IFERROR(__xludf.DUMMYFUNCTION("IMPORTRANGE(""https://docs.google.com/spreadsheets/d/11923uPwbBZFjjGgGUA6NLw09EwE0CqkOc4q9oUmW1yo/edit?usp=sharing"",""พิจิตร!I236"")"),530)</f>
        <v>530</v>
      </c>
      <c r="J341" s="187">
        <f ca="1">IFERROR(__xludf.DUMMYFUNCTION("IMPORTRANGE(""https://docs.google.com/spreadsheets/d/11923uPwbBZFjjGgGUA6NLw09EwE0CqkOc4q9oUmW1yo/edit?usp=sharing"",""พิจิตร!J236"")"),208)</f>
        <v>208</v>
      </c>
      <c r="K341" s="342">
        <f t="shared" ca="1" si="103"/>
        <v>39.245283018867923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IFERROR(__xludf.DUMMYFUNCTION("IMPORTRANGE(""https://docs.google.com/spreadsheets/d/11923uPwbBZFjjGgGUA6NLw09EwE0CqkOc4q9oUmW1yo/edit?usp=sharing"",""พิจิตร!I237"")"),0)</f>
        <v>0</v>
      </c>
      <c r="J342" s="187">
        <f ca="1">IFERROR(__xludf.DUMMYFUNCTION("IMPORTRANGE(""https://docs.google.com/spreadsheets/d/11923uPwbBZFjjGgGUA6NLw09EwE0CqkOc4q9oUmW1yo/edit?usp=sharing"",""พิจิตร!J237"")"),2753.04999999999)</f>
        <v>2753.0499999999902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IFERROR(__xludf.DUMMYFUNCTION("IMPORTRANGE(""https://docs.google.com/spreadsheets/d/11923uPwbBZFjjGgGUA6NLw09EwE0CqkOc4q9oUmW1yo/edit?usp=sharing"",""พิจิตร!I238"")"),530)</f>
        <v>530</v>
      </c>
      <c r="J343" s="187">
        <f ca="1">IFERROR(__xludf.DUMMYFUNCTION("IMPORTRANGE(""https://docs.google.com/spreadsheets/d/11923uPwbBZFjjGgGUA6NLw09EwE0CqkOc4q9oUmW1yo/edit?usp=sharing"",""พิจิตร!J238"")"),0)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IFERROR(__xludf.DUMMYFUNCTION("IMPORTRANGE(""https://docs.google.com/spreadsheets/d/11923uPwbBZFjjGgGUA6NLw09EwE0CqkOc4q9oUmW1yo/edit?usp=sharing"",""พิจิตร!I239"")"),0)</f>
        <v>0</v>
      </c>
      <c r="J344" s="187">
        <f ca="1">IFERROR(__xludf.DUMMYFUNCTION("IMPORTRANGE(""https://docs.google.com/spreadsheets/d/11923uPwbBZFjjGgGUA6NLw09EwE0CqkOc4q9oUmW1yo/edit?usp=sharing"",""พิจิตร!J239"")"),0)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IFERROR(__xludf.DUMMYFUNCTION("IMPORTRANGE(""https://docs.google.com/spreadsheets/d/11923uPwbBZFjjGgGUA6NLw09EwE0CqkOc4q9oUmW1yo/edit?usp=sharing"",""พิจิตร!I240"")"),530)</f>
        <v>530</v>
      </c>
      <c r="J345" s="187">
        <f ca="1">IFERROR(__xludf.DUMMYFUNCTION("IMPORTRANGE(""https://docs.google.com/spreadsheets/d/11923uPwbBZFjjGgGUA6NLw09EwE0CqkOc4q9oUmW1yo/edit?usp=sharing"",""พิจิตร!J240"")"),118)</f>
        <v>118</v>
      </c>
      <c r="K345" s="342">
        <f t="shared" ca="1" si="103"/>
        <v>22.264150943396228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IFERROR(__xludf.DUMMYFUNCTION("IMPORTRANGE(""https://docs.google.com/spreadsheets/d/11923uPwbBZFjjGgGUA6NLw09EwE0CqkOc4q9oUmW1yo/edit?usp=sharing"",""พิจิตร!I241"")"),0)</f>
        <v>0</v>
      </c>
      <c r="J346" s="187">
        <f ca="1">IFERROR(__xludf.DUMMYFUNCTION("IMPORTRANGE(""https://docs.google.com/spreadsheets/d/11923uPwbBZFjjGgGUA6NLw09EwE0CqkOc4q9oUmW1yo/edit?usp=sharing"",""พิจิตร!J241"")"),1761.46)</f>
        <v>1761.46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IFERROR(__xludf.DUMMYFUNCTION("IMPORTRANGE(""https://docs.google.com/spreadsheets/d/11923uPwbBZFjjGgGUA6NLw09EwE0CqkOc4q9oUmW1yo/edit?usp=sharing"",""พิจิตร!L242"")"),2018547)</f>
        <v>2018547</v>
      </c>
      <c r="M347" s="357"/>
      <c r="N347" s="357">
        <f ca="1">IFERROR(__xludf.DUMMYFUNCTION("IMPORTRANGE(""https://docs.google.com/spreadsheets/d/11923uPwbBZFjjGgGUA6NLw09EwE0CqkOc4q9oUmW1yo/edit?usp=sharing"",""พิจิตร!M242"")"),1011454.30999999)</f>
        <v>1011454.30999999</v>
      </c>
      <c r="O347" s="357">
        <f ca="1">+IF(L347&gt;0,N347*100/L347,0)</f>
        <v>50.108038604005259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IFERROR(__xludf.DUMMYFUNCTION("IMPORTRANGE(""https://docs.google.com/spreadsheets/d/11923uPwbBZFjjGgGUA6NLw09EwE0CqkOc4q9oUmW1yo/edit?usp=sharing"",""พิจิตร!I244"")"),160)</f>
        <v>160</v>
      </c>
      <c r="J349" s="370">
        <f ca="1">IFERROR(__xludf.DUMMYFUNCTION("IMPORTRANGE(""https://docs.google.com/spreadsheets/d/11923uPwbBZFjjGgGUA6NLw09EwE0CqkOc4q9oUmW1yo/edit?usp=sharing"",""พิจิตร!J244"")"),160)</f>
        <v>160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IFERROR(__xludf.DUMMYFUNCTION("IMPORTRANGE(""https://docs.google.com/spreadsheets/d/11923uPwbBZFjjGgGUA6NLw09EwE0CqkOc4q9oUmW1yo/edit?usp=sharing"",""พิจิตร!L244"")"),406480)</f>
        <v>406480</v>
      </c>
      <c r="M349" s="372"/>
      <c r="N349" s="372">
        <f ca="1">IFERROR(__xludf.DUMMYFUNCTION("IMPORTRANGE(""https://docs.google.com/spreadsheets/d/11923uPwbBZFjjGgGUA6NLw09EwE0CqkOc4q9oUmW1yo/edit?usp=sharing"",""พิจิตร!M244"")"),320287.7)</f>
        <v>320287.7</v>
      </c>
      <c r="O349" s="372">
        <f ca="1">+IF(L349&gt;0,N349*100/L349,0)</f>
        <v>78.795438889982293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IFERROR(__xludf.DUMMYFUNCTION("IMPORTRANGE(""https://docs.google.com/spreadsheets/d/11923uPwbBZFjjGgGUA6NLw09EwE0CqkOc4q9oUmW1yo/edit?usp=sharing"",""พิจิตร!I245"")"),60)</f>
        <v>60</v>
      </c>
      <c r="J350" s="370">
        <f ca="1">IFERROR(__xludf.DUMMYFUNCTION("IMPORTRANGE(""https://docs.google.com/spreadsheets/d/11923uPwbBZFjjGgGUA6NLw09EwE0CqkOc4q9oUmW1yo/edit?usp=sharing"",""พิจิตร!J245"")"),60)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IFERROR(__xludf.DUMMYFUNCTION("IMPORTRANGE(""https://docs.google.com/spreadsheets/d/11923uPwbBZFjjGgGUA6NLw09EwE0CqkOc4q9oUmW1yo/edit?usp=sharing"",""พิจิตร!L246"")"),0)</f>
        <v>0</v>
      </c>
      <c r="M351" s="164"/>
      <c r="N351" s="164">
        <f ca="1">IFERROR(__xludf.DUMMYFUNCTION("IMPORTRANGE(""https://docs.google.com/spreadsheets/d/11923uPwbBZFjjGgGUA6NLw09EwE0CqkOc4q9oUmW1yo/edit?usp=sharing"",""พิจิตร!M246"")"),0)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IFERROR(__xludf.DUMMYFUNCTION("IMPORTRANGE(""https://docs.google.com/spreadsheets/d/11923uPwbBZFjjGgGUA6NLw09EwE0CqkOc4q9oUmW1yo/edit?usp=sharing"",""พิจิตร!L247"")"),406480)</f>
        <v>406480</v>
      </c>
      <c r="M352" s="165"/>
      <c r="N352" s="164">
        <f ca="1">IFERROR(__xludf.DUMMYFUNCTION("IMPORTRANGE(""https://docs.google.com/spreadsheets/d/11923uPwbBZFjjGgGUA6NLw09EwE0CqkOc4q9oUmW1yo/edit?usp=sharing"",""พิจิตร!M247"")"),320287.7)</f>
        <v>320287.7</v>
      </c>
      <c r="O352" s="165">
        <f t="shared" ca="1" si="105"/>
        <v>78.795438889982293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IFERROR(__xludf.DUMMYFUNCTION("IMPORTRANGE(""https://docs.google.com/spreadsheets/d/11923uPwbBZFjjGgGUA6NLw09EwE0CqkOc4q9oUmW1yo/edit?usp=sharing"",""พิจิตร!L248"")"),0)</f>
        <v>0</v>
      </c>
      <c r="M353" s="168"/>
      <c r="N353" s="168">
        <f ca="1">IFERROR(__xludf.DUMMYFUNCTION("IMPORTRANGE(""https://docs.google.com/spreadsheets/d/11923uPwbBZFjjGgGUA6NLw09EwE0CqkOc4q9oUmW1yo/edit?usp=sharing"",""พิจิตร!M248"")"),0)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IFERROR(__xludf.DUMMYFUNCTION("IMPORTRANGE(""https://docs.google.com/spreadsheets/d/11923uPwbBZFjjGgGUA6NLw09EwE0CqkOc4q9oUmW1yo/edit?usp=sharing"",""พิจิตร!L249"")"),406480)</f>
        <v>406480</v>
      </c>
      <c r="M354" s="168"/>
      <c r="N354" s="167">
        <f ca="1">IFERROR(__xludf.DUMMYFUNCTION("IMPORTRANGE(""https://docs.google.com/spreadsheets/d/11923uPwbBZFjjGgGUA6NLw09EwE0CqkOc4q9oUmW1yo/edit?usp=sharing"",""พิจิตร!M249"")"),320287.7)</f>
        <v>320287.7</v>
      </c>
      <c r="O354" s="168">
        <f t="shared" ca="1" si="105"/>
        <v>78.795438889982293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IFERROR(__xludf.DUMMYFUNCTION("IMPORTRANGE(""https://docs.google.com/spreadsheets/d/11923uPwbBZFjjGgGUA6NLw09EwE0CqkOc4q9oUmW1yo/edit?usp=sharing"",""พิจิตร!M250"")"),66876)</f>
        <v>66876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IFERROR(__xludf.DUMMYFUNCTION("IMPORTRANGE(""https://docs.google.com/spreadsheets/d/11923uPwbBZFjjGgGUA6NLw09EwE0CqkOc4q9oUmW1yo/edit?usp=sharing"",""พิจิตร!M251"")"),145000)</f>
        <v>145000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IFERROR(__xludf.DUMMYFUNCTION("IMPORTRANGE(""https://docs.google.com/spreadsheets/d/11923uPwbBZFjjGgGUA6NLw09EwE0CqkOc4q9oUmW1yo/edit?usp=sharing"",""พิจิตร!M252"")"),94051.7)</f>
        <v>94051.7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IFERROR(__xludf.DUMMYFUNCTION("IMPORTRANGE(""https://docs.google.com/spreadsheets/d/11923uPwbBZFjjGgGUA6NLw09EwE0CqkOc4q9oUmW1yo/edit?usp=sharing"",""พิจิตร!M253"")"),14360)</f>
        <v>14360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IFERROR(__xludf.DUMMYFUNCTION("IMPORTRANGE(""https://docs.google.com/spreadsheets/d/11923uPwbBZFjjGgGUA6NLw09EwE0CqkOc4q9oUmW1yo/edit?usp=sharing"",""พิจิตร!J255"")"),0)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IFERROR(__xludf.DUMMYFUNCTION("IMPORTRANGE(""https://docs.google.com/spreadsheets/d/11923uPwbBZFjjGgGUA6NLw09EwE0CqkOc4q9oUmW1yo/edit?usp=sharing"",""พิจิตร!J256"")"),1)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IFERROR(__xludf.DUMMYFUNCTION("IMPORTRANGE(""https://docs.google.com/spreadsheets/d/11923uPwbBZFjjGgGUA6NLw09EwE0CqkOc4q9oUmW1yo/edit?usp=sharing"",""พิจิตร!J257"")"),0)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IFERROR(__xludf.DUMMYFUNCTION("IMPORTRANGE(""https://docs.google.com/spreadsheets/d/11923uPwbBZFjjGgGUA6NLw09EwE0CqkOc4q9oUmW1yo/edit?usp=sharing"",""พิจิตร!J258"")"),1)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IFERROR(__xludf.DUMMYFUNCTION("IMPORTRANGE(""https://docs.google.com/spreadsheets/d/11923uPwbBZFjjGgGUA6NLw09EwE0CqkOc4q9oUmW1yo/edit?usp=sharing"",""พิจิตร!J166"")"),0)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IFERROR(__xludf.DUMMYFUNCTION("IMPORTRANGE(""https://docs.google.com/spreadsheets/d/11923uPwbBZFjjGgGUA6NLw09EwE0CqkOc4q9oUmW1yo/edit?usp=sharing"",""พิจิตร!J166"")"),0)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IFERROR(__xludf.DUMMYFUNCTION("IMPORTRANGE(""https://docs.google.com/spreadsheets/d/11923uPwbBZFjjGgGUA6NLw09EwE0CqkOc4q9oUmW1yo/edit?usp=sharing"",""พิจิตร!J166"")"),0)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IFERROR(__xludf.DUMMYFUNCTION("IMPORTRANGE(""https://docs.google.com/spreadsheets/d/11923uPwbBZFjjGgGUA6NLw09EwE0CqkOc4q9oUmW1yo/edit?usp=sharing"",""พิจิตร!J166"")"),0)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IFERROR(__xludf.DUMMYFUNCTION("IMPORTRANGE(""https://docs.google.com/spreadsheets/d/11923uPwbBZFjjGgGUA6NLw09EwE0CqkOc4q9oUmW1yo/edit?usp=sharing"",""พิจิตร!I263"")"),60)</f>
        <v>60</v>
      </c>
      <c r="J368" s="187">
        <f ca="1">IFERROR(__xludf.DUMMYFUNCTION("IMPORTRANGE(""https://docs.google.com/spreadsheets/d/11923uPwbBZFjjGgGUA6NLw09EwE0CqkOc4q9oUmW1yo/edit?usp=sharing"",""พิจิตร!J263"")"),60)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IFERROR(__xludf.DUMMYFUNCTION("IMPORTRANGE(""https://docs.google.com/spreadsheets/d/11923uPwbBZFjjGgGUA6NLw09EwE0CqkOc4q9oUmW1yo/edit?usp=sharing"",""พิจิตร!I164"")"),0)</f>
        <v>0</v>
      </c>
      <c r="J369" s="203">
        <f ca="1">IFERROR(__xludf.DUMMYFUNCTION("IMPORTRANGE(""https://docs.google.com/spreadsheets/d/11923uPwbBZFjjGgGUA6NLw09EwE0CqkOc4q9oUmW1yo/edit?usp=sharing"",""พิจิตร!J164"")"),0)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IFERROR(__xludf.DUMMYFUNCTION("IMPORTRANGE(""https://docs.google.com/spreadsheets/d/11923uPwbBZFjjGgGUA6NLw09EwE0CqkOc4q9oUmW1yo/edit?usp=sharing"",""พิจิตร!I265"")"),60)</f>
        <v>60</v>
      </c>
      <c r="J370" s="203">
        <f ca="1">IFERROR(__xludf.DUMMYFUNCTION("IMPORTRANGE(""https://docs.google.com/spreadsheets/d/11923uPwbBZFjjGgGUA6NLw09EwE0CqkOc4q9oUmW1yo/edit?usp=sharing"",""พิจิตร!J265"")"),40)</f>
        <v>40</v>
      </c>
      <c r="K370" s="163">
        <f t="shared" ca="1" si="106"/>
        <v>66.666666666666671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IFERROR(__xludf.DUMMYFUNCTION("IMPORTRANGE(""https://docs.google.com/spreadsheets/d/11923uPwbBZFjjGgGUA6NLw09EwE0CqkOc4q9oUmW1yo/edit?usp=sharing"",""พิจิตร!I164"")"),0)</f>
        <v>0</v>
      </c>
      <c r="J371" s="188">
        <f ca="1">IFERROR(__xludf.DUMMYFUNCTION("IMPORTRANGE(""https://docs.google.com/spreadsheets/d/11923uPwbBZFjjGgGUA6NLw09EwE0CqkOc4q9oUmW1yo/edit?usp=sharing"",""พิจิตร!J164"")"),0)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IFERROR(__xludf.DUMMYFUNCTION("IMPORTRANGE(""https://docs.google.com/spreadsheets/d/11923uPwbBZFjjGgGUA6NLw09EwE0CqkOc4q9oUmW1yo/edit?usp=sharing"",""พิจิตร!I267"")"),60)</f>
        <v>60</v>
      </c>
      <c r="J372" s="188">
        <f ca="1">IFERROR(__xludf.DUMMYFUNCTION("IMPORTRANGE(""https://docs.google.com/spreadsheets/d/11923uPwbBZFjjGgGUA6NLw09EwE0CqkOc4q9oUmW1yo/edit?usp=sharing"",""พิจิตร!J267"")"),20)</f>
        <v>20</v>
      </c>
      <c r="K372" s="163">
        <f t="shared" ca="1" si="106"/>
        <v>33.333333333333336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IFERROR(__xludf.DUMMYFUNCTION("IMPORTRANGE(""https://docs.google.com/spreadsheets/d/11923uPwbBZFjjGgGUA6NLw09EwE0CqkOc4q9oUmW1yo/edit?usp=sharing"",""พิจิตร!I164"")"),0)</f>
        <v>0</v>
      </c>
      <c r="J373" s="203">
        <f ca="1">IFERROR(__xludf.DUMMYFUNCTION("IMPORTRANGE(""https://docs.google.com/spreadsheets/d/11923uPwbBZFjjGgGUA6NLw09EwE0CqkOc4q9oUmW1yo/edit?usp=sharing"",""พิจิตร!J164"")"),0)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IFERROR(__xludf.DUMMYFUNCTION("IMPORTRANGE(""https://docs.google.com/spreadsheets/d/11923uPwbBZFjjGgGUA6NLw09EwE0CqkOc4q9oUmW1yo/edit?usp=sharing"",""พิจิตร!I164"")"),0)</f>
        <v>0</v>
      </c>
      <c r="J374" s="187">
        <f ca="1">IFERROR(__xludf.DUMMYFUNCTION("IMPORTRANGE(""https://docs.google.com/spreadsheets/d/11923uPwbBZFjjGgGUA6NLw09EwE0CqkOc4q9oUmW1yo/edit?usp=sharing"",""พิจิตร!J164"")"),0)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IFERROR(__xludf.DUMMYFUNCTION("IMPORTRANGE(""https://docs.google.com/spreadsheets/d/11923uPwbBZFjjGgGUA6NLw09EwE0CqkOc4q9oUmW1yo/edit?usp=sharing"",""พิจิตร!I270"")"),160)</f>
        <v>160</v>
      </c>
      <c r="J375" s="187">
        <f ca="1">IFERROR(__xludf.DUMMYFUNCTION("IMPORTRANGE(""https://docs.google.com/spreadsheets/d/11923uPwbBZFjjGgGUA6NLw09EwE0CqkOc4q9oUmW1yo/edit?usp=sharing"",""พิจิตร!J270"")"),160)</f>
        <v>160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IFERROR(__xludf.DUMMYFUNCTION("IMPORTRANGE(""https://docs.google.com/spreadsheets/d/11923uPwbBZFjjGgGUA6NLw09EwE0CqkOc4q9oUmW1yo/edit?usp=sharing"",""พิจิตร!I271"")"),60)</f>
        <v>60</v>
      </c>
      <c r="J376" s="188">
        <f ca="1">IFERROR(__xludf.DUMMYFUNCTION("IMPORTRANGE(""https://docs.google.com/spreadsheets/d/11923uPwbBZFjjGgGUA6NLw09EwE0CqkOc4q9oUmW1yo/edit?usp=sharing"",""พิจิตร!J271"")"),60)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IFERROR(__xludf.DUMMYFUNCTION("IMPORTRANGE(""https://docs.google.com/spreadsheets/d/11923uPwbBZFjjGgGUA6NLw09EwE0CqkOc4q9oUmW1yo/edit?usp=sharing"",""พิจิตร!I272"")"),100)</f>
        <v>100</v>
      </c>
      <c r="J377" s="203">
        <f ca="1">IFERROR(__xludf.DUMMYFUNCTION("IMPORTRANGE(""https://docs.google.com/spreadsheets/d/11923uPwbBZFjjGgGUA6NLw09EwE0CqkOc4q9oUmW1yo/edit?usp=sharing"",""พิจิตร!J272"")"),100)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IFERROR(__xludf.DUMMYFUNCTION("IMPORTRANGE(""https://docs.google.com/spreadsheets/d/11923uPwbBZFjjGgGUA6NLw09EwE0CqkOc4q9oUmW1yo/edit?usp=sharing"",""พิจิตร!J273"")"),0)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IFERROR(__xludf.DUMMYFUNCTION("IMPORTRANGE(""https://docs.google.com/spreadsheets/d/11923uPwbBZFjjGgGUA6NLw09EwE0CqkOc4q9oUmW1yo/edit?usp=sharing"",""พิจิตร!J274"")"),0)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IFERROR(__xludf.DUMMYFUNCTION("IMPORTRANGE(""https://docs.google.com/spreadsheets/d/11923uPwbBZFjjGgGUA6NLw09EwE0CqkOc4q9oUmW1yo/edit?usp=sharing"",""พิจิตร!I275"")"),200)</f>
        <v>200</v>
      </c>
      <c r="J380" s="370">
        <f ca="1">IFERROR(__xludf.DUMMYFUNCTION("IMPORTRANGE(""https://docs.google.com/spreadsheets/d/11923uPwbBZFjjGgGUA6NLw09EwE0CqkOc4q9oUmW1yo/edit?usp=sharing"",""พิจิตร!J275"")"),0)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IFERROR(__xludf.DUMMYFUNCTION("IMPORTRANGE(""https://docs.google.com/spreadsheets/d/11923uPwbBZFjjGgGUA6NLw09EwE0CqkOc4q9oUmW1yo/edit?usp=sharing"",""พิจิตร!L275"")"),207560)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IFERROR(__xludf.DUMMYFUNCTION("IMPORTRANGE(""https://docs.google.com/spreadsheets/d/11923uPwbBZFjjGgGUA6NLw09EwE0CqkOc4q9oUmW1yo/edit?usp=sharing"",""พิจิตร!M275"")"),32611)</f>
        <v>32611</v>
      </c>
      <c r="O380" s="372">
        <f ca="1">+IF(L380&gt;0,N380*100/L380,0)</f>
        <v>15.711601464636731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IFERROR(__xludf.DUMMYFUNCTION("IMPORTRANGE(""https://docs.google.com/spreadsheets/d/11923uPwbBZFjjGgGUA6NLw09EwE0CqkOc4q9oUmW1yo/edit?usp=sharing"",""พิจิตร!I276"")"),20)</f>
        <v>20</v>
      </c>
      <c r="J381" s="370">
        <f ca="1">IFERROR(__xludf.DUMMYFUNCTION("IMPORTRANGE(""https://docs.google.com/spreadsheets/d/11923uPwbBZFjjGgGUA6NLw09EwE0CqkOc4q9oUmW1yo/edit?usp=sharing"",""พิจิตร!J276"")"),20)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IFERROR(__xludf.DUMMYFUNCTION("IMPORTRANGE(""https://docs.google.com/spreadsheets/d/11923uPwbBZFjjGgGUA6NLw09EwE0CqkOc4q9oUmW1yo/edit?usp=sharing"",""พิจิตร!L277"")"),0)</f>
        <v>0</v>
      </c>
      <c r="M382" s="164"/>
      <c r="N382" s="164">
        <f ca="1">IFERROR(__xludf.DUMMYFUNCTION("IMPORTRANGE(""https://docs.google.com/spreadsheets/d/11923uPwbBZFjjGgGUA6NLw09EwE0CqkOc4q9oUmW1yo/edit?usp=sharing"",""พิจิตร!M277"")"),0)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IFERROR(__xludf.DUMMYFUNCTION("IMPORTRANGE(""https://docs.google.com/spreadsheets/d/11923uPwbBZFjjGgGUA6NLw09EwE0CqkOc4q9oUmW1yo/edit?usp=sharing"",""พิจิตร!L278"")"),207560)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IFERROR(__xludf.DUMMYFUNCTION("IMPORTRANGE(""https://docs.google.com/spreadsheets/d/11923uPwbBZFjjGgGUA6NLw09EwE0CqkOc4q9oUmW1yo/edit?usp=sharing"",""พิจิตร!M278"")"),32611)</f>
        <v>32611</v>
      </c>
      <c r="O383" s="165">
        <f t="shared" ca="1" si="109"/>
        <v>15.711601464636731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IFERROR(__xludf.DUMMYFUNCTION("IMPORTRANGE(""https://docs.google.com/spreadsheets/d/11923uPwbBZFjjGgGUA6NLw09EwE0CqkOc4q9oUmW1yo/edit?usp=sharing"",""พิจิตร!L279"")"),0)</f>
        <v>0</v>
      </c>
      <c r="M384" s="168"/>
      <c r="N384" s="168">
        <f ca="1">IFERROR(__xludf.DUMMYFUNCTION("IMPORTRANGE(""https://docs.google.com/spreadsheets/d/11923uPwbBZFjjGgGUA6NLw09EwE0CqkOc4q9oUmW1yo/edit?usp=sharing"",""พิจิตร!M279"")"),0)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IFERROR(__xludf.DUMMYFUNCTION("IMPORTRANGE(""https://docs.google.com/spreadsheets/d/11923uPwbBZFjjGgGUA6NLw09EwE0CqkOc4q9oUmW1yo/edit?usp=sharing"",""พิจิตร!L280"")"),207560)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IFERROR(__xludf.DUMMYFUNCTION("IMPORTRANGE(""https://docs.google.com/spreadsheets/d/11923uPwbBZFjjGgGUA6NLw09EwE0CqkOc4q9oUmW1yo/edit?usp=sharing"",""พิจิตร!M280"")"),32611)</f>
        <v>32611</v>
      </c>
      <c r="O385" s="168">
        <f t="shared" ca="1" si="109"/>
        <v>15.711601464636731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IFERROR(__xludf.DUMMYFUNCTION("IMPORTRANGE(""https://docs.google.com/spreadsheets/d/11923uPwbBZFjjGgGUA6NLw09EwE0CqkOc4q9oUmW1yo/edit?usp=sharing"",""พิจิตร!M281"")"),27616)</f>
        <v>27616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IFERROR(__xludf.DUMMYFUNCTION("IMPORTRANGE(""https://docs.google.com/spreadsheets/d/11923uPwbBZFjjGgGUA6NLw09EwE0CqkOc4q9oUmW1yo/edit?usp=sharing"",""พิจิตร!M282"")"),0)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IFERROR(__xludf.DUMMYFUNCTION("IMPORTRANGE(""https://docs.google.com/spreadsheets/d/11923uPwbBZFjjGgGUA6NLw09EwE0CqkOc4q9oUmW1yo/edit?usp=sharing"",""พิจิตร!M283"")"),0)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IFERROR(__xludf.DUMMYFUNCTION("IMPORTRANGE(""https://docs.google.com/spreadsheets/d/11923uPwbBZFjjGgGUA6NLw09EwE0CqkOc4q9oUmW1yo/edit?usp=sharing"",""พิจิตร!M284"")"),4995)</f>
        <v>4995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IFERROR(__xludf.DUMMYFUNCTION("IMPORTRANGE(""https://docs.google.com/spreadsheets/d/11923uPwbBZFjjGgGUA6NLw09EwE0CqkOc4q9oUmW1yo/edit?usp=sharing"",""พิจิตร!J286"")"),0)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IFERROR(__xludf.DUMMYFUNCTION("IMPORTRANGE(""https://docs.google.com/spreadsheets/d/11923uPwbBZFjjGgGUA6NLw09EwE0CqkOc4q9oUmW1yo/edit?usp=sharing"",""พิจิตร!J287"")"),1)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IFERROR(__xludf.DUMMYFUNCTION("IMPORTRANGE(""https://docs.google.com/spreadsheets/d/11923uPwbBZFjjGgGUA6NLw09EwE0CqkOc4q9oUmW1yo/edit?usp=sharing"",""พิจิตร!J288"")"),0)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IFERROR(__xludf.DUMMYFUNCTION("IMPORTRANGE(""https://docs.google.com/spreadsheets/d/11923uPwbBZFjjGgGUA6NLw09EwE0CqkOc4q9oUmW1yo/edit?usp=sharing"",""พิจิตร!J289"")"),1)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IFERROR(__xludf.DUMMYFUNCTION("IMPORTRANGE(""https://docs.google.com/spreadsheets/d/11923uPwbBZFjjGgGUA6NLw09EwE0CqkOc4q9oUmW1yo/edit?usp=sharing"",""พิจิตร!I291"")"),20)</f>
        <v>20</v>
      </c>
      <c r="J396" s="197">
        <f ca="1">IFERROR(__xludf.DUMMYFUNCTION("IMPORTRANGE(""https://docs.google.com/spreadsheets/d/11923uPwbBZFjjGgGUA6NLw09EwE0CqkOc4q9oUmW1yo/edit?usp=sharing"",""พิจิตร!J291"")"),20)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IFERROR(__xludf.DUMMYFUNCTION("IMPORTRANGE(""https://docs.google.com/spreadsheets/d/11923uPwbBZFjjGgGUA6NLw09EwE0CqkOc4q9oUmW1yo/edit?usp=sharing"",""พิจิตร!I292"")"),200)</f>
        <v>200</v>
      </c>
      <c r="J397" s="197">
        <f ca="1">IFERROR(__xludf.DUMMYFUNCTION("IMPORTRANGE(""https://docs.google.com/spreadsheets/d/11923uPwbBZFjjGgGUA6NLw09EwE0CqkOc4q9oUmW1yo/edit?usp=sharing"",""พิจิตร!J292"")"),0)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IFERROR(__xludf.DUMMYFUNCTION("IMPORTRANGE(""https://docs.google.com/spreadsheets/d/11923uPwbBZFjjGgGUA6NLw09EwE0CqkOc4q9oUmW1yo/edit?usp=sharing"",""พิจิตร!I293"")"),20)</f>
        <v>20</v>
      </c>
      <c r="J398" s="197">
        <f ca="1">IFERROR(__xludf.DUMMYFUNCTION("IMPORTRANGE(""https://docs.google.com/spreadsheets/d/11923uPwbBZFjjGgGUA6NLw09EwE0CqkOc4q9oUmW1yo/edit?usp=sharing"",""พิจิตร!J293"")"),0)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IFERROR(__xludf.DUMMYFUNCTION("IMPORTRANGE(""https://docs.google.com/spreadsheets/d/11923uPwbBZFjjGgGUA6NLw09EwE0CqkOc4q9oUmW1yo/edit?usp=sharing"",""พิจิตร!J294"")"),0)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IFERROR(__xludf.DUMMYFUNCTION("IMPORTRANGE(""https://docs.google.com/spreadsheets/d/11923uPwbBZFjjGgGUA6NLw09EwE0CqkOc4q9oUmW1yo/edit?usp=sharing"",""พิจิตร!J295"")"),0)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IFERROR(__xludf.DUMMYFUNCTION("IMPORTRANGE(""https://docs.google.com/spreadsheets/d/11923uPwbBZFjjGgGUA6NLw09EwE0CqkOc4q9oUmW1yo/edit?usp=sharing"",""พิจิตร!I296"")"),174)</f>
        <v>174</v>
      </c>
      <c r="J401" s="370">
        <f ca="1">IFERROR(__xludf.DUMMYFUNCTION("IMPORTRANGE(""https://docs.google.com/spreadsheets/d/11923uPwbBZFjjGgGUA6NLw09EwE0CqkOc4q9oUmW1yo/edit?usp=sharing"",""พิจิตร!J296"")"),174)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IFERROR(__xludf.DUMMYFUNCTION("IMPORTRANGE(""https://docs.google.com/spreadsheets/d/11923uPwbBZFjjGgGUA6NLw09EwE0CqkOc4q9oUmW1yo/edit?usp=sharing"",""พิจิตร!L296"")"),195900)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IFERROR(__xludf.DUMMYFUNCTION("IMPORTRANGE(""https://docs.google.com/spreadsheets/d/11923uPwbBZFjjGgGUA6NLw09EwE0CqkOc4q9oUmW1yo/edit?usp=sharing"",""พิจิตร!M296"")"),113749)</f>
        <v>113749</v>
      </c>
      <c r="O401" s="372">
        <f ca="1">+IF(L401&gt;0,N401*100/L401,0)</f>
        <v>58.064828994384889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IFERROR(__xludf.DUMMYFUNCTION("IMPORTRANGE(""https://docs.google.com/spreadsheets/d/11923uPwbBZFjjGgGUA6NLw09EwE0CqkOc4q9oUmW1yo/edit?usp=sharing"",""พิจิตร!I297"")"),58)</f>
        <v>58</v>
      </c>
      <c r="J402" s="370">
        <f ca="1">IFERROR(__xludf.DUMMYFUNCTION("IMPORTRANGE(""https://docs.google.com/spreadsheets/d/11923uPwbBZFjjGgGUA6NLw09EwE0CqkOc4q9oUmW1yo/edit?usp=sharing"",""พิจิตร!J297"")"),58)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IFERROR(__xludf.DUMMYFUNCTION("IMPORTRANGE(""https://docs.google.com/spreadsheets/d/11923uPwbBZFjjGgGUA6NLw09EwE0CqkOc4q9oUmW1yo/edit?usp=sharing"",""พิจิตร!L298"")"),0)</f>
        <v>0</v>
      </c>
      <c r="M403" s="164"/>
      <c r="N403" s="168">
        <f ca="1">IFERROR(__xludf.DUMMYFUNCTION("IMPORTRANGE(""https://docs.google.com/spreadsheets/d/11923uPwbBZFjjGgGUA6NLw09EwE0CqkOc4q9oUmW1yo/edit?usp=sharing"",""พิจิตร!M298"")"),0)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IFERROR(__xludf.DUMMYFUNCTION("IMPORTRANGE(""https://docs.google.com/spreadsheets/d/11923uPwbBZFjjGgGUA6NLw09EwE0CqkOc4q9oUmW1yo/edit?usp=sharing"",""พิจิตร!L299"")"),195900)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IFERROR(__xludf.DUMMYFUNCTION("IMPORTRANGE(""https://docs.google.com/spreadsheets/d/11923uPwbBZFjjGgGUA6NLw09EwE0CqkOc4q9oUmW1yo/edit?usp=sharing"",""พิจิตร!M299"")"),113749)</f>
        <v>113749</v>
      </c>
      <c r="O404" s="168">
        <f t="shared" ca="1" si="112"/>
        <v>58.064828994384889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IFERROR(__xludf.DUMMYFUNCTION("IMPORTRANGE(""https://docs.google.com/spreadsheets/d/11923uPwbBZFjjGgGUA6NLw09EwE0CqkOc4q9oUmW1yo/edit?usp=sharing"",""พิจิตร!L300"")"),0)</f>
        <v>0</v>
      </c>
      <c r="M405" s="168"/>
      <c r="N405" s="168">
        <f ca="1">IFERROR(__xludf.DUMMYFUNCTION("IMPORTRANGE(""https://docs.google.com/spreadsheets/d/11923uPwbBZFjjGgGUA6NLw09EwE0CqkOc4q9oUmW1yo/edit?usp=sharing"",""พิจิตร!M300"")"),0)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IFERROR(__xludf.DUMMYFUNCTION("IMPORTRANGE(""https://docs.google.com/spreadsheets/d/11923uPwbBZFjjGgGUA6NLw09EwE0CqkOc4q9oUmW1yo/edit?usp=sharing"",""พิจิตร!L301"")"),195900)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IFERROR(__xludf.DUMMYFUNCTION("IMPORTRANGE(""https://docs.google.com/spreadsheets/d/11923uPwbBZFjjGgGUA6NLw09EwE0CqkOc4q9oUmW1yo/edit?usp=sharing"",""พิจิตร!M301"")"),113749)</f>
        <v>113749</v>
      </c>
      <c r="O406" s="168">
        <f t="shared" ca="1" si="112"/>
        <v>58.064828994384889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IFERROR(__xludf.DUMMYFUNCTION("IMPORTRANGE(""https://docs.google.com/spreadsheets/d/11923uPwbBZFjjGgGUA6NLw09EwE0CqkOc4q9oUmW1yo/edit?usp=sharing"",""พิจิตร!M302"")"),98549)</f>
        <v>98549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IFERROR(__xludf.DUMMYFUNCTION("IMPORTRANGE(""https://docs.google.com/spreadsheets/d/11923uPwbBZFjjGgGUA6NLw09EwE0CqkOc4q9oUmW1yo/edit?usp=sharing"",""พิจิตร!M303"")"),0)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IFERROR(__xludf.DUMMYFUNCTION("IMPORTRANGE(""https://docs.google.com/spreadsheets/d/11923uPwbBZFjjGgGUA6NLw09EwE0CqkOc4q9oUmW1yo/edit?usp=sharing"",""พิจิตร!M304"")"),0)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IFERROR(__xludf.DUMMYFUNCTION("IMPORTRANGE(""https://docs.google.com/spreadsheets/d/11923uPwbBZFjjGgGUA6NLw09EwE0CqkOc4q9oUmW1yo/edit?usp=sharing"",""พิจิตร!M305"")"),15200)</f>
        <v>15200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IFERROR(__xludf.DUMMYFUNCTION("IMPORTRANGE(""https://docs.google.com/spreadsheets/d/11923uPwbBZFjjGgGUA6NLw09EwE0CqkOc4q9oUmW1yo/edit?usp=sharing"",""พิจิตร!J307"")"),0)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IFERROR(__xludf.DUMMYFUNCTION("IMPORTRANGE(""https://docs.google.com/spreadsheets/d/11923uPwbBZFjjGgGUA6NLw09EwE0CqkOc4q9oUmW1yo/edit?usp=sharing"",""พิจิตร!J308"")"),1)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IFERROR(__xludf.DUMMYFUNCTION("IMPORTRANGE(""https://docs.google.com/spreadsheets/d/11923uPwbBZFjjGgGUA6NLw09EwE0CqkOc4q9oUmW1yo/edit?usp=sharing"",""พิจิตร!J309"")"),0)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IFERROR(__xludf.DUMMYFUNCTION("IMPORTRANGE(""https://docs.google.com/spreadsheets/d/11923uPwbBZFjjGgGUA6NLw09EwE0CqkOc4q9oUmW1yo/edit?usp=sharing"",""พิจิตร!J310"")"),1)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IFERROR(__xludf.DUMMYFUNCTION("IMPORTRANGE(""https://docs.google.com/spreadsheets/d/11923uPwbBZFjjGgGUA6NLw09EwE0CqkOc4q9oUmW1yo/edit?usp=sharing"",""พิจิตร!I311"")"),58)</f>
        <v>58</v>
      </c>
      <c r="J416" s="200">
        <f ca="1">IFERROR(__xludf.DUMMYFUNCTION("IMPORTRANGE(""https://docs.google.com/spreadsheets/d/11923uPwbBZFjjGgGUA6NLw09EwE0CqkOc4q9oUmW1yo/edit?usp=sharing"",""พิจิตร!J311"")"),58)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IFERROR(__xludf.DUMMYFUNCTION("IMPORTRANGE(""https://docs.google.com/spreadsheets/d/11923uPwbBZFjjGgGUA6NLw09EwE0CqkOc4q9oUmW1yo/edit?usp=sharing"",""พิจิตร!I312"")"),10)</f>
        <v>10</v>
      </c>
      <c r="J417" s="391">
        <f ca="1">IFERROR(__xludf.DUMMYFUNCTION("IMPORTRANGE(""https://docs.google.com/spreadsheets/d/11923uPwbBZFjjGgGUA6NLw09EwE0CqkOc4q9oUmW1yo/edit?usp=sharing"",""พิจิตร!J312"")"),10)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IFERROR(__xludf.DUMMYFUNCTION("IMPORTRANGE(""https://docs.google.com/spreadsheets/d/11923uPwbBZFjjGgGUA6NLw09EwE0CqkOc4q9oUmW1yo/edit?usp=sharing"",""พิจิตร!I313"")"),30)</f>
        <v>30</v>
      </c>
      <c r="J418" s="392">
        <f ca="1">IFERROR(__xludf.DUMMYFUNCTION("IMPORTRANGE(""https://docs.google.com/spreadsheets/d/11923uPwbBZFjjGgGUA6NLw09EwE0CqkOc4q9oUmW1yo/edit?usp=sharing"",""พิจิตร!J313"")"),30)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IFERROR(__xludf.DUMMYFUNCTION("IMPORTRANGE(""https://docs.google.com/spreadsheets/d/11923uPwbBZFjjGgGUA6NLw09EwE0CqkOc4q9oUmW1yo/edit?usp=sharing"",""พิจิตร!I314"")"),10)</f>
        <v>10</v>
      </c>
      <c r="J419" s="393">
        <f ca="1">IFERROR(__xludf.DUMMYFUNCTION("IMPORTRANGE(""https://docs.google.com/spreadsheets/d/11923uPwbBZFjjGgGUA6NLw09EwE0CqkOc4q9oUmW1yo/edit?usp=sharing"",""พิจิตร!J314"")"),10)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IFERROR(__xludf.DUMMYFUNCTION("IMPORTRANGE(""https://docs.google.com/spreadsheets/d/11923uPwbBZFjjGgGUA6NLw09EwE0CqkOc4q9oUmW1yo/edit?usp=sharing"",""พิจิตร!I315"")"),10)</f>
        <v>10</v>
      </c>
      <c r="J420" s="393">
        <f ca="1">IFERROR(__xludf.DUMMYFUNCTION("IMPORTRANGE(""https://docs.google.com/spreadsheets/d/11923uPwbBZFjjGgGUA6NLw09EwE0CqkOc4q9oUmW1yo/edit?usp=sharing"",""พิจิตร!J315"")"),10)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IFERROR(__xludf.DUMMYFUNCTION("IMPORTRANGE(""https://docs.google.com/spreadsheets/d/11923uPwbBZFjjGgGUA6NLw09EwE0CqkOc4q9oUmW1yo/edit?usp=sharing"",""พิจิตร!I316"")"),38)</f>
        <v>38</v>
      </c>
      <c r="J421" s="391">
        <f ca="1">IFERROR(__xludf.DUMMYFUNCTION("IMPORTRANGE(""https://docs.google.com/spreadsheets/d/11923uPwbBZFjjGgGUA6NLw09EwE0CqkOc4q9oUmW1yo/edit?usp=sharing"",""พิจิตร!J316"")"),38)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IFERROR(__xludf.DUMMYFUNCTION("IMPORTRANGE(""https://docs.google.com/spreadsheets/d/11923uPwbBZFjjGgGUA6NLw09EwE0CqkOc4q9oUmW1yo/edit?usp=sharing"",""พิจิตร!I317"")"),114)</f>
        <v>114</v>
      </c>
      <c r="J422" s="392">
        <f ca="1">IFERROR(__xludf.DUMMYFUNCTION("IMPORTRANGE(""https://docs.google.com/spreadsheets/d/11923uPwbBZFjjGgGUA6NLw09EwE0CqkOc4q9oUmW1yo/edit?usp=sharing"",""พิจิตร!J317"")"),114)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IFERROR(__xludf.DUMMYFUNCTION("IMPORTRANGE(""https://docs.google.com/spreadsheets/d/11923uPwbBZFjjGgGUA6NLw09EwE0CqkOc4q9oUmW1yo/edit?usp=sharing"",""พิจิตร!I318"")"),38)</f>
        <v>38</v>
      </c>
      <c r="J423" s="393">
        <f ca="1">IFERROR(__xludf.DUMMYFUNCTION("IMPORTRANGE(""https://docs.google.com/spreadsheets/d/11923uPwbBZFjjGgGUA6NLw09EwE0CqkOc4q9oUmW1yo/edit?usp=sharing"",""พิจิตร!J318"")"),38)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IFERROR(__xludf.DUMMYFUNCTION("IMPORTRANGE(""https://docs.google.com/spreadsheets/d/11923uPwbBZFjjGgGUA6NLw09EwE0CqkOc4q9oUmW1yo/edit?usp=sharing"",""พิจิตร!I319"")"),38)</f>
        <v>38</v>
      </c>
      <c r="J424" s="393">
        <f ca="1">IFERROR(__xludf.DUMMYFUNCTION("IMPORTRANGE(""https://docs.google.com/spreadsheets/d/11923uPwbBZFjjGgGUA6NLw09EwE0CqkOc4q9oUmW1yo/edit?usp=sharing"",""พิจิตร!J319"")"),38)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IFERROR(__xludf.DUMMYFUNCTION("IMPORTRANGE(""https://docs.google.com/spreadsheets/d/11923uPwbBZFjjGgGUA6NLw09EwE0CqkOc4q9oUmW1yo/edit?usp=sharing"",""พิจิตร!I320"")"),38)</f>
        <v>38</v>
      </c>
      <c r="J425" s="393">
        <f ca="1">IFERROR(__xludf.DUMMYFUNCTION("IMPORTRANGE(""https://docs.google.com/spreadsheets/d/11923uPwbBZFjjGgGUA6NLw09EwE0CqkOc4q9oUmW1yo/edit?usp=sharing"",""พิจิตร!J320"")"),38)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IFERROR(__xludf.DUMMYFUNCTION("IMPORTRANGE(""https://docs.google.com/spreadsheets/d/11923uPwbBZFjjGgGUA6NLw09EwE0CqkOc4q9oUmW1yo/edit?usp=sharing"",""พิจิตร!I321"")"),10)</f>
        <v>10</v>
      </c>
      <c r="J426" s="391">
        <f ca="1">IFERROR(__xludf.DUMMYFUNCTION("IMPORTRANGE(""https://docs.google.com/spreadsheets/d/11923uPwbBZFjjGgGUA6NLw09EwE0CqkOc4q9oUmW1yo/edit?usp=sharing"",""พิจิตร!J321"")"),10)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IFERROR(__xludf.DUMMYFUNCTION("IMPORTRANGE(""https://docs.google.com/spreadsheets/d/11923uPwbBZFjjGgGUA6NLw09EwE0CqkOc4q9oUmW1yo/edit?usp=sharing"",""พิจิตร!I322"")"),30)</f>
        <v>30</v>
      </c>
      <c r="J427" s="392">
        <f ca="1">IFERROR(__xludf.DUMMYFUNCTION("IMPORTRANGE(""https://docs.google.com/spreadsheets/d/11923uPwbBZFjjGgGUA6NLw09EwE0CqkOc4q9oUmW1yo/edit?usp=sharing"",""พิจิตร!J322"")"),30)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IFERROR(__xludf.DUMMYFUNCTION("IMPORTRANGE(""https://docs.google.com/spreadsheets/d/11923uPwbBZFjjGgGUA6NLw09EwE0CqkOc4q9oUmW1yo/edit?usp=sharing"",""พิจิตร!I323"")"),10)</f>
        <v>10</v>
      </c>
      <c r="J428" s="393">
        <f ca="1">IFERROR(__xludf.DUMMYFUNCTION("IMPORTRANGE(""https://docs.google.com/spreadsheets/d/11923uPwbBZFjjGgGUA6NLw09EwE0CqkOc4q9oUmW1yo/edit?usp=sharing"",""พิจิตร!J323"")"),10)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IFERROR(__xludf.DUMMYFUNCTION("IMPORTRANGE(""https://docs.google.com/spreadsheets/d/11923uPwbBZFjjGgGUA6NLw09EwE0CqkOc4q9oUmW1yo/edit?usp=sharing"",""พิจิตร!I324"")"),10)</f>
        <v>10</v>
      </c>
      <c r="J429" s="393">
        <f ca="1">IFERROR(__xludf.DUMMYFUNCTION("IMPORTRANGE(""https://docs.google.com/spreadsheets/d/11923uPwbBZFjjGgGUA6NLw09EwE0CqkOc4q9oUmW1yo/edit?usp=sharing"",""พิจิตร!J324"")"),10)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IFERROR(__xludf.DUMMYFUNCTION("IMPORTRANGE(""https://docs.google.com/spreadsheets/d/11923uPwbBZFjjGgGUA6NLw09EwE0CqkOc4q9oUmW1yo/edit?usp=sharing"",""พิจิตร!I325"")"),48)</f>
        <v>48</v>
      </c>
      <c r="J430" s="391">
        <f ca="1">IFERROR(__xludf.DUMMYFUNCTION("IMPORTRANGE(""https://docs.google.com/spreadsheets/d/11923uPwbBZFjjGgGUA6NLw09EwE0CqkOc4q9oUmW1yo/edit?usp=sharing"",""พิจิตร!J325"")"),0)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IFERROR(__xludf.DUMMYFUNCTION("IMPORTRANGE(""https://docs.google.com/spreadsheets/d/11923uPwbBZFjjGgGUA6NLw09EwE0CqkOc4q9oUmW1yo/edit?usp=sharing"",""พิจิตร!I326"")"),10)</f>
        <v>10</v>
      </c>
      <c r="J431" s="393">
        <f ca="1">IFERROR(__xludf.DUMMYFUNCTION("IMPORTRANGE(""https://docs.google.com/spreadsheets/d/11923uPwbBZFjjGgGUA6NLw09EwE0CqkOc4q9oUmW1yo/edit?usp=sharing"",""พิจิตร!J326"")"),0)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IFERROR(__xludf.DUMMYFUNCTION("IMPORTRANGE(""https://docs.google.com/spreadsheets/d/11923uPwbBZFjjGgGUA6NLw09EwE0CqkOc4q9oUmW1yo/edit?usp=sharing"",""พิจิตร!I327"")"),38)</f>
        <v>38</v>
      </c>
      <c r="J432" s="393">
        <f ca="1">IFERROR(__xludf.DUMMYFUNCTION("IMPORTRANGE(""https://docs.google.com/spreadsheets/d/11923uPwbBZFjjGgGUA6NLw09EwE0CqkOc4q9oUmW1yo/edit?usp=sharing"",""พิจิตร!J327"")"),0)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IFERROR(__xludf.DUMMYFUNCTION("IMPORTRANGE(""https://docs.google.com/spreadsheets/d/11923uPwbBZFjjGgGUA6NLw09EwE0CqkOc4q9oUmW1yo/edit?usp=sharing"",""พิจิตร!J328"")"),0)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IFERROR(__xludf.DUMMYFUNCTION("IMPORTRANGE(""https://docs.google.com/spreadsheets/d/11923uPwbBZFjjGgGUA6NLw09EwE0CqkOc4q9oUmW1yo/edit?usp=sharing"",""พิจิตร!J329"")"),0)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IFERROR(__xludf.DUMMYFUNCTION("IMPORTRANGE(""https://docs.google.com/spreadsheets/d/11923uPwbBZFjjGgGUA6NLw09EwE0CqkOc4q9oUmW1yo/edit?usp=sharing"",""พิจิตร!I330"")"),15)</f>
        <v>15</v>
      </c>
      <c r="J435" s="409">
        <f ca="1">IFERROR(__xludf.DUMMYFUNCTION("IMPORTRANGE(""https://docs.google.com/spreadsheets/d/11923uPwbBZFjjGgGUA6NLw09EwE0CqkOc4q9oUmW1yo/edit?usp=sharing"",""พิจิตร!J330"")"),15)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IFERROR(__xludf.DUMMYFUNCTION("IMPORTRANGE(""https://docs.google.com/spreadsheets/d/11923uPwbBZFjjGgGUA6NLw09EwE0CqkOc4q9oUmW1yo/edit?usp=sharing"",""พิจิตร!L330"")"),106000)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IFERROR(__xludf.DUMMYFUNCTION("IMPORTRANGE(""https://docs.google.com/spreadsheets/d/11923uPwbBZFjjGgGUA6NLw09EwE0CqkOc4q9oUmW1yo/edit?usp=sharing"",""พิจิตร!M330"")"),75866)</f>
        <v>75866</v>
      </c>
      <c r="O435" s="411">
        <f t="shared" ref="O435:O439" ca="1" si="114">+IF(L435&gt;0,N435*100/L435,0)</f>
        <v>71.571698113207546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IFERROR(__xludf.DUMMYFUNCTION("IMPORTRANGE(""https://docs.google.com/spreadsheets/d/11923uPwbBZFjjGgGUA6NLw09EwE0CqkOc4q9oUmW1yo/edit?usp=sharing"",""พิจิตร!L331"")"),0)</f>
        <v>0</v>
      </c>
      <c r="M436" s="164"/>
      <c r="N436" s="168">
        <f ca="1">IFERROR(__xludf.DUMMYFUNCTION("IMPORTRANGE(""https://docs.google.com/spreadsheets/d/11923uPwbBZFjjGgGUA6NLw09EwE0CqkOc4q9oUmW1yo/edit?usp=sharing"",""พิจิตร!M331"")"),0)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IFERROR(__xludf.DUMMYFUNCTION("IMPORTRANGE(""https://docs.google.com/spreadsheets/d/11923uPwbBZFjjGgGUA6NLw09EwE0CqkOc4q9oUmW1yo/edit?usp=sharing"",""พิจิตร!L332"")"),106000)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IFERROR(__xludf.DUMMYFUNCTION("IMPORTRANGE(""https://docs.google.com/spreadsheets/d/11923uPwbBZFjjGgGUA6NLw09EwE0CqkOc4q9oUmW1yo/edit?usp=sharing"",""พิจิตร!M332"")"),75866)</f>
        <v>75866</v>
      </c>
      <c r="O437" s="168">
        <f t="shared" ca="1" si="114"/>
        <v>71.571698113207546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IFERROR(__xludf.DUMMYFUNCTION("IMPORTRANGE(""https://docs.google.com/spreadsheets/d/11923uPwbBZFjjGgGUA6NLw09EwE0CqkOc4q9oUmW1yo/edit?usp=sharing"",""พิจิตร!L333"")"),0)</f>
        <v>0</v>
      </c>
      <c r="M438" s="168"/>
      <c r="N438" s="168">
        <f ca="1">IFERROR(__xludf.DUMMYFUNCTION("IMPORTRANGE(""https://docs.google.com/spreadsheets/d/11923uPwbBZFjjGgGUA6NLw09EwE0CqkOc4q9oUmW1yo/edit?usp=sharing"",""พิจิตร!M333"")"),0)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IFERROR(__xludf.DUMMYFUNCTION("IMPORTRANGE(""https://docs.google.com/spreadsheets/d/11923uPwbBZFjjGgGUA6NLw09EwE0CqkOc4q9oUmW1yo/edit?usp=sharing"",""พิจิตร!L334"")"),106000)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IFERROR(__xludf.DUMMYFUNCTION("IMPORTRANGE(""https://docs.google.com/spreadsheets/d/11923uPwbBZFjjGgGUA6NLw09EwE0CqkOc4q9oUmW1yo/edit?usp=sharing"",""พิจิตร!M334"")"),75866)</f>
        <v>75866</v>
      </c>
      <c r="O439" s="168">
        <f t="shared" ca="1" si="114"/>
        <v>71.571698113207546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IFERROR(__xludf.DUMMYFUNCTION("IMPORTRANGE(""https://docs.google.com/spreadsheets/d/11923uPwbBZFjjGgGUA6NLw09EwE0CqkOc4q9oUmW1yo/edit?usp=sharing"",""พิจิตร!M335"")"),32191)</f>
        <v>32191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IFERROR(__xludf.DUMMYFUNCTION("IMPORTRANGE(""https://docs.google.com/spreadsheets/d/11923uPwbBZFjjGgGUA6NLw09EwE0CqkOc4q9oUmW1yo/edit?usp=sharing"",""พิจิตร!M336"")"),0)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IFERROR(__xludf.DUMMYFUNCTION("IMPORTRANGE(""https://docs.google.com/spreadsheets/d/11923uPwbBZFjjGgGUA6NLw09EwE0CqkOc4q9oUmW1yo/edit?usp=sharing"",""พิจิตร!M337"")"),0)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IFERROR(__xludf.DUMMYFUNCTION("IMPORTRANGE(""https://docs.google.com/spreadsheets/d/11923uPwbBZFjjGgGUA6NLw09EwE0CqkOc4q9oUmW1yo/edit?usp=sharing"",""พิจิตร!M338"")"),43675)</f>
        <v>43675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IFERROR(__xludf.DUMMYFUNCTION("IMPORTRANGE(""https://docs.google.com/spreadsheets/d/11923uPwbBZFjjGgGUA6NLw09EwE0CqkOc4q9oUmW1yo/edit?usp=sharing"",""พิจิตร!J340"")"),0)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IFERROR(__xludf.DUMMYFUNCTION("IMPORTRANGE(""https://docs.google.com/spreadsheets/d/11923uPwbBZFjjGgGUA6NLw09EwE0CqkOc4q9oUmW1yo/edit?usp=sharing"",""พิจิตร!J341"")"),1)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IFERROR(__xludf.DUMMYFUNCTION("IMPORTRANGE(""https://docs.google.com/spreadsheets/d/11923uPwbBZFjjGgGUA6NLw09EwE0CqkOc4q9oUmW1yo/edit?usp=sharing"",""พิจิตร!J342"")"),0)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IFERROR(__xludf.DUMMYFUNCTION("IMPORTRANGE(""https://docs.google.com/spreadsheets/d/11923uPwbBZFjjGgGUA6NLw09EwE0CqkOc4q9oUmW1yo/edit?usp=sharing"",""พิจิตร!J343"")"),1)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IFERROR(__xludf.DUMMYFUNCTION("IMPORTRANGE(""https://docs.google.com/spreadsheets/d/11923uPwbBZFjjGgGUA6NLw09EwE0CqkOc4q9oUmW1yo/edit?usp=sharing"",""พิจิตร!I344"")"),15)</f>
        <v>15</v>
      </c>
      <c r="J449" s="200">
        <f ca="1">IFERROR(__xludf.DUMMYFUNCTION("IMPORTRANGE(""https://docs.google.com/spreadsheets/d/11923uPwbBZFjjGgGUA6NLw09EwE0CqkOc4q9oUmW1yo/edit?usp=sharing"",""พิจิตร!J344"")"),15)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IFERROR(__xludf.DUMMYFUNCTION("IMPORTRANGE(""https://docs.google.com/spreadsheets/d/11923uPwbBZFjjGgGUA6NLw09EwE0CqkOc4q9oUmW1yo/edit?usp=sharing"",""พิจิตร!I345"")"),15)</f>
        <v>15</v>
      </c>
      <c r="J450" s="188">
        <f ca="1">IFERROR(__xludf.DUMMYFUNCTION("IMPORTRANGE(""https://docs.google.com/spreadsheets/d/11923uPwbBZFjjGgGUA6NLw09EwE0CqkOc4q9oUmW1yo/edit?usp=sharing"",""พิจิตร!J345"")"),15)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IFERROR(__xludf.DUMMYFUNCTION("IMPORTRANGE(""https://docs.google.com/spreadsheets/d/11923uPwbBZFjjGgGUA6NLw09EwE0CqkOc4q9oUmW1yo/edit?usp=sharing"",""พิจิตร!I346"")"),0)</f>
        <v>0</v>
      </c>
      <c r="J451" s="187">
        <f ca="1">IFERROR(__xludf.DUMMYFUNCTION("IMPORTRANGE(""https://docs.google.com/spreadsheets/d/11923uPwbBZFjjGgGUA6NLw09EwE0CqkOc4q9oUmW1yo/edit?usp=sharing"",""พิจิตร!J346"")"),0)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IFERROR(__xludf.DUMMYFUNCTION("IMPORTRANGE(""https://docs.google.com/spreadsheets/d/11923uPwbBZFjjGgGUA6NLw09EwE0CqkOc4q9oUmW1yo/edit?usp=sharing"",""พิจิตร!I347"")"),0)</f>
        <v>0</v>
      </c>
      <c r="J452" s="187">
        <f ca="1">IFERROR(__xludf.DUMMYFUNCTION("IMPORTRANGE(""https://docs.google.com/spreadsheets/d/11923uPwbBZFjjGgGUA6NLw09EwE0CqkOc4q9oUmW1yo/edit?usp=sharing"",""พิจิตร!J347"")"),0)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IFERROR(__xludf.DUMMYFUNCTION("IMPORTRANGE(""https://docs.google.com/spreadsheets/d/11923uPwbBZFjjGgGUA6NLw09EwE0CqkOc4q9oUmW1yo/edit?usp=sharing"",""พิจิตร!J348"")"),0)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IFERROR(__xludf.DUMMYFUNCTION("IMPORTRANGE(""https://docs.google.com/spreadsheets/d/11923uPwbBZFjjGgGUA6NLw09EwE0CqkOc4q9oUmW1yo/edit?usp=sharing"",""พิจิตร!J349"")"),0)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IFERROR(__xludf.DUMMYFUNCTION("IMPORTRANGE(""https://docs.google.com/spreadsheets/d/11923uPwbBZFjjGgGUA6NLw09EwE0CqkOc4q9oUmW1yo/edit?usp=sharing"",""พิจิตร!I350"")"),77223)</f>
        <v>77223</v>
      </c>
      <c r="J455" s="370">
        <f ca="1">IFERROR(__xludf.DUMMYFUNCTION("IMPORTRANGE(""https://docs.google.com/spreadsheets/d/11923uPwbBZFjjGgGUA6NLw09EwE0CqkOc4q9oUmW1yo/edit?usp=sharing"",""พิจิตร!J350"")"),77224)</f>
        <v>77224</v>
      </c>
      <c r="K455" s="371">
        <f ca="1">IF(I455&gt;0,J455*100/I455,0)</f>
        <v>100.00129495098611</v>
      </c>
      <c r="L455" s="372">
        <f ca="1">IFERROR(__xludf.DUMMYFUNCTION("IMPORTRANGE(""https://docs.google.com/spreadsheets/d/11923uPwbBZFjjGgGUA6NLw09EwE0CqkOc4q9oUmW1yo/edit?usp=sharing"",""พิจิตร!L350"")"),585237)</f>
        <v>585237</v>
      </c>
      <c r="M455" s="372"/>
      <c r="N455" s="372">
        <f ca="1">IFERROR(__xludf.DUMMYFUNCTION("IMPORTRANGE(""https://docs.google.com/spreadsheets/d/11923uPwbBZFjjGgGUA6NLw09EwE0CqkOc4q9oUmW1yo/edit?usp=sharing"",""พิจิตร!M350"")"),166859.78)</f>
        <v>166859.78</v>
      </c>
      <c r="O455" s="372">
        <f t="shared" ref="O455:O459" ca="1" si="116">+IF(L455&gt;0,N455*100/L455,0)</f>
        <v>28.511488508074507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IFERROR(__xludf.DUMMYFUNCTION("IMPORTRANGE(""https://docs.google.com/spreadsheets/d/11923uPwbBZFjjGgGUA6NLw09EwE0CqkOc4q9oUmW1yo/edit?usp=sharing"",""พิจิตร!L351"")"),0)</f>
        <v>0</v>
      </c>
      <c r="M456" s="164"/>
      <c r="N456" s="168">
        <f ca="1">IFERROR(__xludf.DUMMYFUNCTION("IMPORTRANGE(""https://docs.google.com/spreadsheets/d/11923uPwbBZFjjGgGUA6NLw09EwE0CqkOc4q9oUmW1yo/edit?usp=sharing"",""พิจิตร!M351"")"),0)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IFERROR(__xludf.DUMMYFUNCTION("IMPORTRANGE(""https://docs.google.com/spreadsheets/d/11923uPwbBZFjjGgGUA6NLw09EwE0CqkOc4q9oUmW1yo/edit?usp=sharing"",""พิจิตร!L352"")"),585237)</f>
        <v>585237</v>
      </c>
      <c r="M457" s="165"/>
      <c r="N457" s="168">
        <f ca="1">IFERROR(__xludf.DUMMYFUNCTION("IMPORTRANGE(""https://docs.google.com/spreadsheets/d/11923uPwbBZFjjGgGUA6NLw09EwE0CqkOc4q9oUmW1yo/edit?usp=sharing"",""พิจิตร!M352"")"),166859.78)</f>
        <v>166859.78</v>
      </c>
      <c r="O457" s="168">
        <f t="shared" ca="1" si="116"/>
        <v>28.511488508074507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IFERROR(__xludf.DUMMYFUNCTION("IMPORTRANGE(""https://docs.google.com/spreadsheets/d/11923uPwbBZFjjGgGUA6NLw09EwE0CqkOc4q9oUmW1yo/edit?usp=sharing"",""พิจิตร!L353"")"),0)</f>
        <v>0</v>
      </c>
      <c r="M458" s="168"/>
      <c r="N458" s="168">
        <f ca="1">IFERROR(__xludf.DUMMYFUNCTION("IMPORTRANGE(""https://docs.google.com/spreadsheets/d/11923uPwbBZFjjGgGUA6NLw09EwE0CqkOc4q9oUmW1yo/edit?usp=sharing"",""พิจิตร!M353"")"),0)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IFERROR(__xludf.DUMMYFUNCTION("IMPORTRANGE(""https://docs.google.com/spreadsheets/d/11923uPwbBZFjjGgGUA6NLw09EwE0CqkOc4q9oUmW1yo/edit?usp=sharing"",""พิจิตร!L354"")"),585237)</f>
        <v>585237</v>
      </c>
      <c r="M459" s="168"/>
      <c r="N459" s="168">
        <f ca="1">IFERROR(__xludf.DUMMYFUNCTION("IMPORTRANGE(""https://docs.google.com/spreadsheets/d/11923uPwbBZFjjGgGUA6NLw09EwE0CqkOc4q9oUmW1yo/edit?usp=sharing"",""พิจิตร!M354"")"),166859.78)</f>
        <v>166859.78</v>
      </c>
      <c r="O459" s="168">
        <f t="shared" ca="1" si="116"/>
        <v>28.511488508074507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IFERROR(__xludf.DUMMYFUNCTION("IMPORTRANGE(""https://docs.google.com/spreadsheets/d/11923uPwbBZFjjGgGUA6NLw09EwE0CqkOc4q9oUmW1yo/edit?usp=sharing"",""พิจิตร!M355"")"),0)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IFERROR(__xludf.DUMMYFUNCTION("IMPORTRANGE(""https://docs.google.com/spreadsheets/d/11923uPwbBZFjjGgGUA6NLw09EwE0CqkOc4q9oUmW1yo/edit?usp=sharing"",""พิจิตร!M356"")"),0)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IFERROR(__xludf.DUMMYFUNCTION("IMPORTRANGE(""https://docs.google.com/spreadsheets/d/11923uPwbBZFjjGgGUA6NLw09EwE0CqkOc4q9oUmW1yo/edit?usp=sharing"",""พิจิตร!M357"")"),81346.78)</f>
        <v>81346.78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IFERROR(__xludf.DUMMYFUNCTION("IMPORTRANGE(""https://docs.google.com/spreadsheets/d/11923uPwbBZFjjGgGUA6NLw09EwE0CqkOc4q9oUmW1yo/edit?usp=sharing"",""พิจิตร!M358"")"),85513)</f>
        <v>85513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IFERROR(__xludf.DUMMYFUNCTION("IMPORTRANGE(""https://docs.google.com/spreadsheets/d/11923uPwbBZFjjGgGUA6NLw09EwE0CqkOc4q9oUmW1yo/edit?usp=sharing"",""พิจิตร!I359"")"),77223)</f>
        <v>77223</v>
      </c>
      <c r="J464" s="267">
        <f ca="1">IFERROR(__xludf.DUMMYFUNCTION("IMPORTRANGE(""https://docs.google.com/spreadsheets/d/11923uPwbBZFjjGgGUA6NLw09EwE0CqkOc4q9oUmW1yo/edit?usp=sharing"",""พิจิตร!J359"")"),77224)</f>
        <v>77224</v>
      </c>
      <c r="K464" s="268">
        <f t="shared" ref="K464:K515" ca="1" si="117">IF(I464&gt;0,J464*100/I464,0)</f>
        <v>100.00129495098611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IFERROR(__xludf.DUMMYFUNCTION("IMPORTRANGE(""https://docs.google.com/spreadsheets/d/11923uPwbBZFjjGgGUA6NLw09EwE0CqkOc4q9oUmW1yo/edit?usp=sharing"",""พิจิตร!I360"")"),77223)</f>
        <v>77223</v>
      </c>
      <c r="J465" s="420">
        <f ca="1">IFERROR(__xludf.DUMMYFUNCTION("IMPORTRANGE(""https://docs.google.com/spreadsheets/d/11923uPwbBZFjjGgGUA6NLw09EwE0CqkOc4q9oUmW1yo/edit?usp=sharing"",""พิจิตร!J360"")"),77224)</f>
        <v>77224</v>
      </c>
      <c r="K465" s="201">
        <f t="shared" ca="1" si="117"/>
        <v>100.00129495098611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IFERROR(__xludf.DUMMYFUNCTION("IMPORTRANGE(""https://docs.google.com/spreadsheets/d/11923uPwbBZFjjGgGUA6NLw09EwE0CqkOc4q9oUmW1yo/edit?usp=sharing"",""พิจิตร!I361"")"),7854)</f>
        <v>7854</v>
      </c>
      <c r="J466" s="420">
        <f ca="1">IFERROR(__xludf.DUMMYFUNCTION("IMPORTRANGE(""https://docs.google.com/spreadsheets/d/11923uPwbBZFjjGgGUA6NLw09EwE0CqkOc4q9oUmW1yo/edit?usp=sharing"",""พิจิตร!J361"")"),7854)</f>
        <v>7854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IFERROR(__xludf.DUMMYFUNCTION("IMPORTRANGE(""https://docs.google.com/spreadsheets/d/11923uPwbBZFjjGgGUA6NLw09EwE0CqkOc4q9oUmW1yo/edit?usp=sharing"",""พิจิตร!I362"")"),0)</f>
        <v>0</v>
      </c>
      <c r="J467" s="188">
        <f ca="1">IFERROR(__xludf.DUMMYFUNCTION("IMPORTRANGE(""https://docs.google.com/spreadsheets/d/11923uPwbBZFjjGgGUA6NLw09EwE0CqkOc4q9oUmW1yo/edit?usp=sharing"",""พิจิตร!J362"")"),59899)</f>
        <v>59899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IFERROR(__xludf.DUMMYFUNCTION("IMPORTRANGE(""https://docs.google.com/spreadsheets/d/11923uPwbBZFjjGgGUA6NLw09EwE0CqkOc4q9oUmW1yo/edit?usp=sharing"",""พิจิตร!I363"")"),0)</f>
        <v>0</v>
      </c>
      <c r="J468" s="188">
        <f ca="1">IFERROR(__xludf.DUMMYFUNCTION("IMPORTRANGE(""https://docs.google.com/spreadsheets/d/11923uPwbBZFjjGgGUA6NLw09EwE0CqkOc4q9oUmW1yo/edit?usp=sharing"",""พิจิตร!J363"")"),6624)</f>
        <v>6624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IFERROR(__xludf.DUMMYFUNCTION("IMPORTRANGE(""https://docs.google.com/spreadsheets/d/11923uPwbBZFjjGgGUA6NLw09EwE0CqkOc4q9oUmW1yo/edit?usp=sharing"",""พิจิตร!I364"")"),0)</f>
        <v>0</v>
      </c>
      <c r="J469" s="188">
        <f ca="1">IFERROR(__xludf.DUMMYFUNCTION("IMPORTRANGE(""https://docs.google.com/spreadsheets/d/11923uPwbBZFjjGgGUA6NLw09EwE0CqkOc4q9oUmW1yo/edit?usp=sharing"",""พิจิตร!J364"")"),14730)</f>
        <v>14730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IFERROR(__xludf.DUMMYFUNCTION("IMPORTRANGE(""https://docs.google.com/spreadsheets/d/11923uPwbBZFjjGgGUA6NLw09EwE0CqkOc4q9oUmW1yo/edit?usp=sharing"",""พิจิตร!I365"")"),0)</f>
        <v>0</v>
      </c>
      <c r="J470" s="188">
        <f ca="1">IFERROR(__xludf.DUMMYFUNCTION("IMPORTRANGE(""https://docs.google.com/spreadsheets/d/11923uPwbBZFjjGgGUA6NLw09EwE0CqkOc4q9oUmW1yo/edit?usp=sharing"",""พิจิตร!J365"")"),1018)</f>
        <v>1018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IFERROR(__xludf.DUMMYFUNCTION("IMPORTRANGE(""https://docs.google.com/spreadsheets/d/11923uPwbBZFjjGgGUA6NLw09EwE0CqkOc4q9oUmW1yo/edit?usp=sharing"",""พิจิตร!I366"")"),0)</f>
        <v>0</v>
      </c>
      <c r="J471" s="188">
        <f ca="1">IFERROR(__xludf.DUMMYFUNCTION("IMPORTRANGE(""https://docs.google.com/spreadsheets/d/11923uPwbBZFjjGgGUA6NLw09EwE0CqkOc4q9oUmW1yo/edit?usp=sharing"",""พิจิตร!J366"")"),2595)</f>
        <v>2595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IFERROR(__xludf.DUMMYFUNCTION("IMPORTRANGE(""https://docs.google.com/spreadsheets/d/11923uPwbBZFjjGgGUA6NLw09EwE0CqkOc4q9oUmW1yo/edit?usp=sharing"",""พิจิตร!I367"")"),0)</f>
        <v>0</v>
      </c>
      <c r="J472" s="188">
        <f ca="1">IFERROR(__xludf.DUMMYFUNCTION("IMPORTRANGE(""https://docs.google.com/spreadsheets/d/11923uPwbBZFjjGgGUA6NLw09EwE0CqkOc4q9oUmW1yo/edit?usp=sharing"",""พิจิตร!J367"")"),212)</f>
        <v>212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IFERROR(__xludf.DUMMYFUNCTION("IMPORTRANGE(""https://docs.google.com/spreadsheets/d/11923uPwbBZFjjGgGUA6NLw09EwE0CqkOc4q9oUmW1yo/edit?usp=sharing"",""พิจิตร!I368"")"),77223)</f>
        <v>77223</v>
      </c>
      <c r="J473" s="420">
        <f ca="1">IFERROR(__xludf.DUMMYFUNCTION("IMPORTRANGE(""https://docs.google.com/spreadsheets/d/11923uPwbBZFjjGgGUA6NLw09EwE0CqkOc4q9oUmW1yo/edit?usp=sharing"",""พิจิตร!J368"")"),77224)</f>
        <v>77224</v>
      </c>
      <c r="K473" s="201">
        <f t="shared" ca="1" si="117"/>
        <v>100.00129495098611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IFERROR(__xludf.DUMMYFUNCTION("IMPORTRANGE(""https://docs.google.com/spreadsheets/d/11923uPwbBZFjjGgGUA6NLw09EwE0CqkOc4q9oUmW1yo/edit?usp=sharing"",""พิจิตร!I369"")"),7854)</f>
        <v>7854</v>
      </c>
      <c r="J474" s="420">
        <f ca="1">IFERROR(__xludf.DUMMYFUNCTION("IMPORTRANGE(""https://docs.google.com/spreadsheets/d/11923uPwbBZFjjGgGUA6NLw09EwE0CqkOc4q9oUmW1yo/edit?usp=sharing"",""พิจิตร!J369"")"),7854)</f>
        <v>7854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IFERROR(__xludf.DUMMYFUNCTION("IMPORTRANGE(""https://docs.google.com/spreadsheets/d/11923uPwbBZFjjGgGUA6NLw09EwE0CqkOc4q9oUmW1yo/edit?usp=sharing"",""พิจิตร!I370"")"),0)</f>
        <v>0</v>
      </c>
      <c r="J475" s="188">
        <f ca="1">IFERROR(__xludf.DUMMYFUNCTION("IMPORTRANGE(""https://docs.google.com/spreadsheets/d/11923uPwbBZFjjGgGUA6NLw09EwE0CqkOc4q9oUmW1yo/edit?usp=sharing"",""พิจิตร!J370"")"),59899)</f>
        <v>59899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IFERROR(__xludf.DUMMYFUNCTION("IMPORTRANGE(""https://docs.google.com/spreadsheets/d/11923uPwbBZFjjGgGUA6NLw09EwE0CqkOc4q9oUmW1yo/edit?usp=sharing"",""พิจิตร!I371"")"),0)</f>
        <v>0</v>
      </c>
      <c r="J476" s="188">
        <f ca="1">IFERROR(__xludf.DUMMYFUNCTION("IMPORTRANGE(""https://docs.google.com/spreadsheets/d/11923uPwbBZFjjGgGUA6NLw09EwE0CqkOc4q9oUmW1yo/edit?usp=sharing"",""พิจิตร!J371"")"),6624)</f>
        <v>6624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IFERROR(__xludf.DUMMYFUNCTION("IMPORTRANGE(""https://docs.google.com/spreadsheets/d/11923uPwbBZFjjGgGUA6NLw09EwE0CqkOc4q9oUmW1yo/edit?usp=sharing"",""พิจิตร!I372"")"),0)</f>
        <v>0</v>
      </c>
      <c r="J477" s="188">
        <f ca="1">IFERROR(__xludf.DUMMYFUNCTION("IMPORTRANGE(""https://docs.google.com/spreadsheets/d/11923uPwbBZFjjGgGUA6NLw09EwE0CqkOc4q9oUmW1yo/edit?usp=sharing"",""พิจิตร!J372"")"),14730)</f>
        <v>14730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IFERROR(__xludf.DUMMYFUNCTION("IMPORTRANGE(""https://docs.google.com/spreadsheets/d/11923uPwbBZFjjGgGUA6NLw09EwE0CqkOc4q9oUmW1yo/edit?usp=sharing"",""พิจิตร!I373"")"),0)</f>
        <v>0</v>
      </c>
      <c r="J478" s="188">
        <f ca="1">IFERROR(__xludf.DUMMYFUNCTION("IMPORTRANGE(""https://docs.google.com/spreadsheets/d/11923uPwbBZFjjGgGUA6NLw09EwE0CqkOc4q9oUmW1yo/edit?usp=sharing"",""พิจิตร!J373"")"),1018)</f>
        <v>1018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IFERROR(__xludf.DUMMYFUNCTION("IMPORTRANGE(""https://docs.google.com/spreadsheets/d/11923uPwbBZFjjGgGUA6NLw09EwE0CqkOc4q9oUmW1yo/edit?usp=sharing"",""พิจิตร!I374"")"),0)</f>
        <v>0</v>
      </c>
      <c r="J479" s="188">
        <f ca="1">IFERROR(__xludf.DUMMYFUNCTION("IMPORTRANGE(""https://docs.google.com/spreadsheets/d/11923uPwbBZFjjGgGUA6NLw09EwE0CqkOc4q9oUmW1yo/edit?usp=sharing"",""พิจิตร!J374"")"),2595)</f>
        <v>2595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IFERROR(__xludf.DUMMYFUNCTION("IMPORTRANGE(""https://docs.google.com/spreadsheets/d/11923uPwbBZFjjGgGUA6NLw09EwE0CqkOc4q9oUmW1yo/edit?usp=sharing"",""พิจิตร!I375"")"),0)</f>
        <v>0</v>
      </c>
      <c r="J480" s="188">
        <f ca="1">IFERROR(__xludf.DUMMYFUNCTION("IMPORTRANGE(""https://docs.google.com/spreadsheets/d/11923uPwbBZFjjGgGUA6NLw09EwE0CqkOc4q9oUmW1yo/edit?usp=sharing"",""พิจิตร!J375"")"),212)</f>
        <v>212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IFERROR(__xludf.DUMMYFUNCTION("IMPORTRANGE(""https://docs.google.com/spreadsheets/d/11923uPwbBZFjjGgGUA6NLw09EwE0CqkOc4q9oUmW1yo/edit?usp=sharing"",""พิจิตร!I376"")"),77223)</f>
        <v>77223</v>
      </c>
      <c r="J481" s="420">
        <f ca="1">IFERROR(__xludf.DUMMYFUNCTION("IMPORTRANGE(""https://docs.google.com/spreadsheets/d/11923uPwbBZFjjGgGUA6NLw09EwE0CqkOc4q9oUmW1yo/edit?usp=sharing"",""พิจิตร!J376"")"),77224)</f>
        <v>77224</v>
      </c>
      <c r="K481" s="201">
        <f t="shared" ca="1" si="117"/>
        <v>100.00129495098611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IFERROR(__xludf.DUMMYFUNCTION("IMPORTRANGE(""https://docs.google.com/spreadsheets/d/11923uPwbBZFjjGgGUA6NLw09EwE0CqkOc4q9oUmW1yo/edit?usp=sharing"",""พิจิตร!I377"")"),7854)</f>
        <v>7854</v>
      </c>
      <c r="J482" s="420">
        <f ca="1">IFERROR(__xludf.DUMMYFUNCTION("IMPORTRANGE(""https://docs.google.com/spreadsheets/d/11923uPwbBZFjjGgGUA6NLw09EwE0CqkOc4q9oUmW1yo/edit?usp=sharing"",""พิจิตร!J377"")"),7854)</f>
        <v>7854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IFERROR(__xludf.DUMMYFUNCTION("IMPORTRANGE(""https://docs.google.com/spreadsheets/d/11923uPwbBZFjjGgGUA6NLw09EwE0CqkOc4q9oUmW1yo/edit?usp=sharing"",""พิจิตร!I378"")"),0)</f>
        <v>0</v>
      </c>
      <c r="J483" s="188">
        <f ca="1">IFERROR(__xludf.DUMMYFUNCTION("IMPORTRANGE(""https://docs.google.com/spreadsheets/d/11923uPwbBZFjjGgGUA6NLw09EwE0CqkOc4q9oUmW1yo/edit?usp=sharing"",""พิจิตร!J378"")"),59899)</f>
        <v>59899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IFERROR(__xludf.DUMMYFUNCTION("IMPORTRANGE(""https://docs.google.com/spreadsheets/d/11923uPwbBZFjjGgGUA6NLw09EwE0CqkOc4q9oUmW1yo/edit?usp=sharing"",""พิจิตร!I379"")"),0)</f>
        <v>0</v>
      </c>
      <c r="J484" s="188">
        <f ca="1">IFERROR(__xludf.DUMMYFUNCTION("IMPORTRANGE(""https://docs.google.com/spreadsheets/d/11923uPwbBZFjjGgGUA6NLw09EwE0CqkOc4q9oUmW1yo/edit?usp=sharing"",""พิจิตร!J379"")"),6624)</f>
        <v>6624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IFERROR(__xludf.DUMMYFUNCTION("IMPORTRANGE(""https://docs.google.com/spreadsheets/d/11923uPwbBZFjjGgGUA6NLw09EwE0CqkOc4q9oUmW1yo/edit?usp=sharing"",""พิจิตร!I380"")"),0)</f>
        <v>0</v>
      </c>
      <c r="J485" s="188">
        <f ca="1">IFERROR(__xludf.DUMMYFUNCTION("IMPORTRANGE(""https://docs.google.com/spreadsheets/d/11923uPwbBZFjjGgGUA6NLw09EwE0CqkOc4q9oUmW1yo/edit?usp=sharing"",""พิจิตร!J380"")"),14730)</f>
        <v>14730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IFERROR(__xludf.DUMMYFUNCTION("IMPORTRANGE(""https://docs.google.com/spreadsheets/d/11923uPwbBZFjjGgGUA6NLw09EwE0CqkOc4q9oUmW1yo/edit?usp=sharing"",""พิจิตร!I381"")"),0)</f>
        <v>0</v>
      </c>
      <c r="J486" s="188">
        <f ca="1">IFERROR(__xludf.DUMMYFUNCTION("IMPORTRANGE(""https://docs.google.com/spreadsheets/d/11923uPwbBZFjjGgGUA6NLw09EwE0CqkOc4q9oUmW1yo/edit?usp=sharing"",""พิจิตร!J381"")"),1018)</f>
        <v>1018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IFERROR(__xludf.DUMMYFUNCTION("IMPORTRANGE(""https://docs.google.com/spreadsheets/d/11923uPwbBZFjjGgGUA6NLw09EwE0CqkOc4q9oUmW1yo/edit?usp=sharing"",""พิจิตร!I382"")"),0)</f>
        <v>0</v>
      </c>
      <c r="J487" s="420">
        <f ca="1">IFERROR(__xludf.DUMMYFUNCTION("IMPORTRANGE(""https://docs.google.com/spreadsheets/d/11923uPwbBZFjjGgGUA6NLw09EwE0CqkOc4q9oUmW1yo/edit?usp=sharing"",""พิจิตร!J382"")"),2595)</f>
        <v>2595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IFERROR(__xludf.DUMMYFUNCTION("IMPORTRANGE(""https://docs.google.com/spreadsheets/d/11923uPwbBZFjjGgGUA6NLw09EwE0CqkOc4q9oUmW1yo/edit?usp=sharing"",""พิจิตร!I383"")"),0)</f>
        <v>0</v>
      </c>
      <c r="J488" s="420">
        <f ca="1">IFERROR(__xludf.DUMMYFUNCTION("IMPORTRANGE(""https://docs.google.com/spreadsheets/d/11923uPwbBZFjjGgGUA6NLw09EwE0CqkOc4q9oUmW1yo/edit?usp=sharing"",""พิจิตร!J383"")"),212)</f>
        <v>212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IFERROR(__xludf.DUMMYFUNCTION("IMPORTRANGE(""https://docs.google.com/spreadsheets/d/11923uPwbBZFjjGgGUA6NLw09EwE0CqkOc4q9oUmW1yo/edit?usp=sharing"",""พิจิตร!I384"")"),0)</f>
        <v>0</v>
      </c>
      <c r="J489" s="188">
        <f ca="1">IFERROR(__xludf.DUMMYFUNCTION("IMPORTRANGE(""https://docs.google.com/spreadsheets/d/11923uPwbBZFjjGgGUA6NLw09EwE0CqkOc4q9oUmW1yo/edit?usp=sharing"",""พิจิตร!J384"")"),2552)</f>
        <v>2552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IFERROR(__xludf.DUMMYFUNCTION("IMPORTRANGE(""https://docs.google.com/spreadsheets/d/11923uPwbBZFjjGgGUA6NLw09EwE0CqkOc4q9oUmW1yo/edit?usp=sharing"",""พิจิตร!I385"")"),0)</f>
        <v>0</v>
      </c>
      <c r="J490" s="188">
        <f ca="1">IFERROR(__xludf.DUMMYFUNCTION("IMPORTRANGE(""https://docs.google.com/spreadsheets/d/11923uPwbBZFjjGgGUA6NLw09EwE0CqkOc4q9oUmW1yo/edit?usp=sharing"",""พิจิตร!J385"")"),207)</f>
        <v>207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IFERROR(__xludf.DUMMYFUNCTION("IMPORTRANGE(""https://docs.google.com/spreadsheets/d/11923uPwbBZFjjGgGUA6NLw09EwE0CqkOc4q9oUmW1yo/edit?usp=sharing"",""พิจิตร!I386"")"),0)</f>
        <v>0</v>
      </c>
      <c r="J491" s="188">
        <f ca="1">IFERROR(__xludf.DUMMYFUNCTION("IMPORTRANGE(""https://docs.google.com/spreadsheets/d/11923uPwbBZFjjGgGUA6NLw09EwE0CqkOc4q9oUmW1yo/edit?usp=sharing"",""พิจิตร!J386"")"),43)</f>
        <v>43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IFERROR(__xludf.DUMMYFUNCTION("IMPORTRANGE(""https://docs.google.com/spreadsheets/d/11923uPwbBZFjjGgGUA6NLw09EwE0CqkOc4q9oUmW1yo/edit?usp=sharing"",""พิจิตร!I387"")"),0)</f>
        <v>0</v>
      </c>
      <c r="J492" s="188">
        <f ca="1">IFERROR(__xludf.DUMMYFUNCTION("IMPORTRANGE(""https://docs.google.com/spreadsheets/d/11923uPwbBZFjjGgGUA6NLw09EwE0CqkOc4q9oUmW1yo/edit?usp=sharing"",""พิจิตร!J387"")"),5)</f>
        <v>5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IFERROR(__xludf.DUMMYFUNCTION("IMPORTRANGE(""https://docs.google.com/spreadsheets/d/11923uPwbBZFjjGgGUA6NLw09EwE0CqkOc4q9oUmW1yo/edit?usp=sharing"",""พิจิตร!I388"")"),0)</f>
        <v>0</v>
      </c>
      <c r="J493" s="188">
        <f ca="1">IFERROR(__xludf.DUMMYFUNCTION("IMPORTRANGE(""https://docs.google.com/spreadsheets/d/11923uPwbBZFjjGgGUA6NLw09EwE0CqkOc4q9oUmW1yo/edit?usp=sharing"",""พิจิตร!J388"")"),0)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IFERROR(__xludf.DUMMYFUNCTION("IMPORTRANGE(""https://docs.google.com/spreadsheets/d/11923uPwbBZFjjGgGUA6NLw09EwE0CqkOc4q9oUmW1yo/edit?usp=sharing"",""พิจิตร!I389"")"),0)</f>
        <v>0</v>
      </c>
      <c r="J494" s="436">
        <f ca="1">IFERROR(__xludf.DUMMYFUNCTION("IMPORTRANGE(""https://docs.google.com/spreadsheets/d/11923uPwbBZFjjGgGUA6NLw09EwE0CqkOc4q9oUmW1yo/edit?usp=sharing"",""พิจิตร!J389"")"),0)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IFERROR(__xludf.DUMMYFUNCTION("IMPORTRANGE(""https://docs.google.com/spreadsheets/d/11923uPwbBZFjjGgGUA6NLw09EwE0CqkOc4q9oUmW1yo/edit?usp=sharing"",""พิจิตร!I390"")"),0)</f>
        <v>0</v>
      </c>
      <c r="J495" s="436">
        <f ca="1">IFERROR(__xludf.DUMMYFUNCTION("IMPORTRANGE(""https://docs.google.com/spreadsheets/d/11923uPwbBZFjjGgGUA6NLw09EwE0CqkOc4q9oUmW1yo/edit?usp=sharing"",""พิจิตร!J390"")"),0)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IFERROR(__xludf.DUMMYFUNCTION("IMPORTRANGE(""https://docs.google.com/spreadsheets/d/11923uPwbBZFjjGgGUA6NLw09EwE0CqkOc4q9oUmW1yo/edit?usp=sharing"",""พิจิตร!I391"")"),0)</f>
        <v>0</v>
      </c>
      <c r="J496" s="436">
        <f ca="1">IFERROR(__xludf.DUMMYFUNCTION("IMPORTRANGE(""https://docs.google.com/spreadsheets/d/11923uPwbBZFjjGgGUA6NLw09EwE0CqkOc4q9oUmW1yo/edit?usp=sharing"",""พิจิตร!J391"")"),0)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IFERROR(__xludf.DUMMYFUNCTION("IMPORTRANGE(""https://docs.google.com/spreadsheets/d/11923uPwbBZFjjGgGUA6NLw09EwE0CqkOc4q9oUmW1yo/edit?usp=sharing"",""พิจิตร!I392"")"),1124)</f>
        <v>1124</v>
      </c>
      <c r="J497" s="443">
        <f ca="1">IFERROR(__xludf.DUMMYFUNCTION("IMPORTRANGE(""https://docs.google.com/spreadsheets/d/11923uPwbBZFjjGgGUA6NLw09EwE0CqkOc4q9oUmW1yo/edit?usp=sharing"",""พิจิตร!J392"")"),754.27)</f>
        <v>754.27</v>
      </c>
      <c r="K497" s="444">
        <f t="shared" ca="1" si="117"/>
        <v>67.105871886120994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IFERROR(__xludf.DUMMYFUNCTION("IMPORTRANGE(""https://docs.google.com/spreadsheets/d/11923uPwbBZFjjGgGUA6NLw09EwE0CqkOc4q9oUmW1yo/edit?usp=sharing"",""พิจิตร!I393"")"),1124)</f>
        <v>1124</v>
      </c>
      <c r="J498" s="420">
        <f ca="1">IFERROR(__xludf.DUMMYFUNCTION("IMPORTRANGE(""https://docs.google.com/spreadsheets/d/11923uPwbBZFjjGgGUA6NLw09EwE0CqkOc4q9oUmW1yo/edit?usp=sharing"",""พิจิตร!J393"")"),754.27)</f>
        <v>754.27</v>
      </c>
      <c r="K498" s="163">
        <f t="shared" ca="1" si="117"/>
        <v>67.105871886120994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IFERROR(__xludf.DUMMYFUNCTION("IMPORTRANGE(""https://docs.google.com/spreadsheets/d/11923uPwbBZFjjGgGUA6NLw09EwE0CqkOc4q9oUmW1yo/edit?usp=sharing"",""พิจิตร!I394"")"),58)</f>
        <v>58</v>
      </c>
      <c r="J499" s="420">
        <f ca="1">IFERROR(__xludf.DUMMYFUNCTION("IMPORTRANGE(""https://docs.google.com/spreadsheets/d/11923uPwbBZFjjGgGUA6NLw09EwE0CqkOc4q9oUmW1yo/edit?usp=sharing"",""พิจิตร!J394"")"),40)</f>
        <v>40</v>
      </c>
      <c r="K499" s="201">
        <f t="shared" ca="1" si="117"/>
        <v>68.965517241379317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IFERROR(__xludf.DUMMYFUNCTION("IMPORTRANGE(""https://docs.google.com/spreadsheets/d/11923uPwbBZFjjGgGUA6NLw09EwE0CqkOc4q9oUmW1yo/edit?usp=sharing"",""พิจิตร!I395"")"),0)</f>
        <v>0</v>
      </c>
      <c r="J500" s="162">
        <f ca="1">IFERROR(__xludf.DUMMYFUNCTION("IMPORTRANGE(""https://docs.google.com/spreadsheets/d/11923uPwbBZFjjGgGUA6NLw09EwE0CqkOc4q9oUmW1yo/edit?usp=sharing"",""พิจิตร!J395"")"),728.25)</f>
        <v>728.25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IFERROR(__xludf.DUMMYFUNCTION("IMPORTRANGE(""https://docs.google.com/spreadsheets/d/11923uPwbBZFjjGgGUA6NLw09EwE0CqkOc4q9oUmW1yo/edit?usp=sharing"",""พิจิตร!I396"")"),0)</f>
        <v>0</v>
      </c>
      <c r="J501" s="162">
        <f ca="1">IFERROR(__xludf.DUMMYFUNCTION("IMPORTRANGE(""https://docs.google.com/spreadsheets/d/11923uPwbBZFjjGgGUA6NLw09EwE0CqkOc4q9oUmW1yo/edit?usp=sharing"",""พิจิตร!J396"")"),38)</f>
        <v>38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IFERROR(__xludf.DUMMYFUNCTION("IMPORTRANGE(""https://docs.google.com/spreadsheets/d/11923uPwbBZFjjGgGUA6NLw09EwE0CqkOc4q9oUmW1yo/edit?usp=sharing"",""พิจิตร!I397"")"),0)</f>
        <v>0</v>
      </c>
      <c r="J502" s="188">
        <f ca="1">IFERROR(__xludf.DUMMYFUNCTION("IMPORTRANGE(""https://docs.google.com/spreadsheets/d/11923uPwbBZFjjGgGUA6NLw09EwE0CqkOc4q9oUmW1yo/edit?usp=sharing"",""พิจิตร!J397"")"),728.25)</f>
        <v>728.25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IFERROR(__xludf.DUMMYFUNCTION("IMPORTRANGE(""https://docs.google.com/spreadsheets/d/11923uPwbBZFjjGgGUA6NLw09EwE0CqkOc4q9oUmW1yo/edit?usp=sharing"",""พิจิตร!I398"")"),0)</f>
        <v>0</v>
      </c>
      <c r="J503" s="197">
        <f ca="1">IFERROR(__xludf.DUMMYFUNCTION("IMPORTRANGE(""https://docs.google.com/spreadsheets/d/11923uPwbBZFjjGgGUA6NLw09EwE0CqkOc4q9oUmW1yo/edit?usp=sharing"",""พิจิตร!J398"")"),38)</f>
        <v>38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IFERROR(__xludf.DUMMYFUNCTION("IMPORTRANGE(""https://docs.google.com/spreadsheets/d/11923uPwbBZFjjGgGUA6NLw09EwE0CqkOc4q9oUmW1yo/edit?usp=sharing"",""พิจิตร!I399"")"),0)</f>
        <v>0</v>
      </c>
      <c r="J504" s="188">
        <f ca="1">IFERROR(__xludf.DUMMYFUNCTION("IMPORTRANGE(""https://docs.google.com/spreadsheets/d/11923uPwbBZFjjGgGUA6NLw09EwE0CqkOc4q9oUmW1yo/edit?usp=sharing"",""พิจิตร!J399"")"),0)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IFERROR(__xludf.DUMMYFUNCTION("IMPORTRANGE(""https://docs.google.com/spreadsheets/d/11923uPwbBZFjjGgGUA6NLw09EwE0CqkOc4q9oUmW1yo/edit?usp=sharing"",""พิจิตร!I400"")"),0)</f>
        <v>0</v>
      </c>
      <c r="J505" s="197">
        <f ca="1">IFERROR(__xludf.DUMMYFUNCTION("IMPORTRANGE(""https://docs.google.com/spreadsheets/d/11923uPwbBZFjjGgGUA6NLw09EwE0CqkOc4q9oUmW1yo/edit?usp=sharing"",""พิจิตร!J400"")"),0)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IFERROR(__xludf.DUMMYFUNCTION("IMPORTRANGE(""https://docs.google.com/spreadsheets/d/11923uPwbBZFjjGgGUA6NLw09EwE0CqkOc4q9oUmW1yo/edit?usp=sharing"",""พิจิตร!I401"")"),0)</f>
        <v>0</v>
      </c>
      <c r="J506" s="188">
        <f ca="1">IFERROR(__xludf.DUMMYFUNCTION("IMPORTRANGE(""https://docs.google.com/spreadsheets/d/11923uPwbBZFjjGgGUA6NLw09EwE0CqkOc4q9oUmW1yo/edit?usp=sharing"",""พิจิตร!J401"")"),0)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IFERROR(__xludf.DUMMYFUNCTION("IMPORTRANGE(""https://docs.google.com/spreadsheets/d/11923uPwbBZFjjGgGUA6NLw09EwE0CqkOc4q9oUmW1yo/edit?usp=sharing"",""พิจิตร!I402"")"),0)</f>
        <v>0</v>
      </c>
      <c r="J507" s="197">
        <f ca="1">IFERROR(__xludf.DUMMYFUNCTION("IMPORTRANGE(""https://docs.google.com/spreadsheets/d/11923uPwbBZFjjGgGUA6NLw09EwE0CqkOc4q9oUmW1yo/edit?usp=sharing"",""พิจิตร!J402"")"),0)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IFERROR(__xludf.DUMMYFUNCTION("IMPORTRANGE(""https://docs.google.com/spreadsheets/d/11923uPwbBZFjjGgGUA6NLw09EwE0CqkOc4q9oUmW1yo/edit?usp=sharing"",""พิจิตร!I403"")"),0)</f>
        <v>0</v>
      </c>
      <c r="J508" s="162">
        <f ca="1">IFERROR(__xludf.DUMMYFUNCTION("IMPORTRANGE(""https://docs.google.com/spreadsheets/d/11923uPwbBZFjjGgGUA6NLw09EwE0CqkOc4q9oUmW1yo/edit?usp=sharing"",""พิจิตร!J403"")"),26.02)</f>
        <v>26.02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IFERROR(__xludf.DUMMYFUNCTION("IMPORTRANGE(""https://docs.google.com/spreadsheets/d/11923uPwbBZFjjGgGUA6NLw09EwE0CqkOc4q9oUmW1yo/edit?usp=sharing"",""พิจิตร!I404"")"),0)</f>
        <v>0</v>
      </c>
      <c r="J509" s="162">
        <f ca="1">IFERROR(__xludf.DUMMYFUNCTION("IMPORTRANGE(""https://docs.google.com/spreadsheets/d/11923uPwbBZFjjGgGUA6NLw09EwE0CqkOc4q9oUmW1yo/edit?usp=sharing"",""พิจิตร!J404"")"),2)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IFERROR(__xludf.DUMMYFUNCTION("IMPORTRANGE(""https://docs.google.com/spreadsheets/d/11923uPwbBZFjjGgGUA6NLw09EwE0CqkOc4q9oUmW1yo/edit?usp=sharing"",""พิจิตร!I405"")"),0)</f>
        <v>0</v>
      </c>
      <c r="J510" s="197">
        <f ca="1">IFERROR(__xludf.DUMMYFUNCTION("IMPORTRANGE(""https://docs.google.com/spreadsheets/d/11923uPwbBZFjjGgGUA6NLw09EwE0CqkOc4q9oUmW1yo/edit?usp=sharing"",""พิจิตร!J405"")"),26.02)</f>
        <v>26.02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IFERROR(__xludf.DUMMYFUNCTION("IMPORTRANGE(""https://docs.google.com/spreadsheets/d/11923uPwbBZFjjGgGUA6NLw09EwE0CqkOc4q9oUmW1yo/edit?usp=sharing"",""พิจิตร!I406"")"),0)</f>
        <v>0</v>
      </c>
      <c r="J511" s="197">
        <f ca="1">IFERROR(__xludf.DUMMYFUNCTION("IMPORTRANGE(""https://docs.google.com/spreadsheets/d/11923uPwbBZFjjGgGUA6NLw09EwE0CqkOc4q9oUmW1yo/edit?usp=sharing"",""พิจิตร!J406"")"),2)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IFERROR(__xludf.DUMMYFUNCTION("IMPORTRANGE(""https://docs.google.com/spreadsheets/d/11923uPwbBZFjjGgGUA6NLw09EwE0CqkOc4q9oUmW1yo/edit?usp=sharing"",""พิจิตร!I407"")"),0)</f>
        <v>0</v>
      </c>
      <c r="J512" s="197">
        <f ca="1">IFERROR(__xludf.DUMMYFUNCTION("IMPORTRANGE(""https://docs.google.com/spreadsheets/d/11923uPwbBZFjjGgGUA6NLw09EwE0CqkOc4q9oUmW1yo/edit?usp=sharing"",""พิจิตร!J407"")"),0)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IFERROR(__xludf.DUMMYFUNCTION("IMPORTRANGE(""https://docs.google.com/spreadsheets/d/11923uPwbBZFjjGgGUA6NLw09EwE0CqkOc4q9oUmW1yo/edit?usp=sharing"",""พิจิตร!I408"")"),0)</f>
        <v>0</v>
      </c>
      <c r="J513" s="197">
        <f ca="1">IFERROR(__xludf.DUMMYFUNCTION("IMPORTRANGE(""https://docs.google.com/spreadsheets/d/11923uPwbBZFjjGgGUA6NLw09EwE0CqkOc4q9oUmW1yo/edit?usp=sharing"",""พิจิตร!J408"")"),0)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IFERROR(__xludf.DUMMYFUNCTION("IMPORTRANGE(""https://docs.google.com/spreadsheets/d/11923uPwbBZFjjGgGUA6NLw09EwE0CqkOc4q9oUmW1yo/edit?usp=sharing"",""พิจิตร!I409"")"),0)</f>
        <v>0</v>
      </c>
      <c r="J514" s="197">
        <f ca="1">IFERROR(__xludf.DUMMYFUNCTION("IMPORTRANGE(""https://docs.google.com/spreadsheets/d/11923uPwbBZFjjGgGUA6NLw09EwE0CqkOc4q9oUmW1yo/edit?usp=sharing"",""พิจิตร!J409"")"),0)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IFERROR(__xludf.DUMMYFUNCTION("IMPORTRANGE(""https://docs.google.com/spreadsheets/d/11923uPwbBZFjjGgGUA6NLw09EwE0CqkOc4q9oUmW1yo/edit?usp=sharing"",""พิจิตร!I410"")"),0)</f>
        <v>0</v>
      </c>
      <c r="J515" s="197">
        <f ca="1">IFERROR(__xludf.DUMMYFUNCTION("IMPORTRANGE(""https://docs.google.com/spreadsheets/d/11923uPwbBZFjjGgGUA6NLw09EwE0CqkOc4q9oUmW1yo/edit?usp=sharing"",""พิจิตร!J410"")"),0)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IFERROR(__xludf.DUMMYFUNCTION("IMPORTRANGE(""https://docs.google.com/spreadsheets/d/11923uPwbBZFjjGgGUA6NLw09EwE0CqkOc4q9oUmW1yo/edit?usp=sharing"",""พิจิตร!I411"")"),0)</f>
        <v>0</v>
      </c>
      <c r="J516" s="267">
        <f ca="1">IFERROR(__xludf.DUMMYFUNCTION("IMPORTRANGE(""https://docs.google.com/spreadsheets/d/11923uPwbBZFjjGgGUA6NLw09EwE0CqkOc4q9oUmW1yo/edit?usp=sharing"",""พิจิตร!J411"")"),0)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IFERROR(__xludf.DUMMYFUNCTION("IMPORTRANGE(""https://docs.google.com/spreadsheets/d/11923uPwbBZFjjGgGUA6NLw09EwE0CqkOc4q9oUmW1yo/edit?usp=sharing"",""พิจิตร!I412"")"),0)</f>
        <v>0</v>
      </c>
      <c r="J517" s="284">
        <f ca="1">IFERROR(__xludf.DUMMYFUNCTION("IMPORTRANGE(""https://docs.google.com/spreadsheets/d/11923uPwbBZFjjGgGUA6NLw09EwE0CqkOc4q9oUmW1yo/edit?usp=sharing"",""พิจิตร!J412"")"),0)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IFERROR(__xludf.DUMMYFUNCTION("IMPORTRANGE(""https://docs.google.com/spreadsheets/d/11923uPwbBZFjjGgGUA6NLw09EwE0CqkOc4q9oUmW1yo/edit?usp=sharing"",""พิจิตร!I413"")"),0)</f>
        <v>0</v>
      </c>
      <c r="J518" s="284">
        <f ca="1">IFERROR(__xludf.DUMMYFUNCTION("IMPORTRANGE(""https://docs.google.com/spreadsheets/d/11923uPwbBZFjjGgGUA6NLw09EwE0CqkOc4q9oUmW1yo/edit?usp=sharing"",""พิจิตร!J413"")"),0)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IFERROR(__xludf.DUMMYFUNCTION("IMPORTRANGE(""https://docs.google.com/spreadsheets/d/11923uPwbBZFjjGgGUA6NLw09EwE0CqkOc4q9oUmW1yo/edit?usp=sharing"",""พิจิตร!I414"")"),0)</f>
        <v>0</v>
      </c>
      <c r="J519" s="187">
        <f ca="1">IFERROR(__xludf.DUMMYFUNCTION("IMPORTRANGE(""https://docs.google.com/spreadsheets/d/11923uPwbBZFjjGgGUA6NLw09EwE0CqkOc4q9oUmW1yo/edit?usp=sharing"",""พิจิตร!J414"")"),0)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IFERROR(__xludf.DUMMYFUNCTION("IMPORTRANGE(""https://docs.google.com/spreadsheets/d/11923uPwbBZFjjGgGUA6NLw09EwE0CqkOc4q9oUmW1yo/edit?usp=sharing"",""พิจิตร!I415"")"),0)</f>
        <v>0</v>
      </c>
      <c r="J520" s="187">
        <f ca="1">IFERROR(__xludf.DUMMYFUNCTION("IMPORTRANGE(""https://docs.google.com/spreadsheets/d/11923uPwbBZFjjGgGUA6NLw09EwE0CqkOc4q9oUmW1yo/edit?usp=sharing"",""พิจิตร!J415"")"),0)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IFERROR(__xludf.DUMMYFUNCTION("IMPORTRANGE(""https://docs.google.com/spreadsheets/d/11923uPwbBZFjjGgGUA6NLw09EwE0CqkOc4q9oUmW1yo/edit?usp=sharing"",""พิจิตร!I416"")"),0)</f>
        <v>0</v>
      </c>
      <c r="J521" s="187">
        <f ca="1">IFERROR(__xludf.DUMMYFUNCTION("IMPORTRANGE(""https://docs.google.com/spreadsheets/d/11923uPwbBZFjjGgGUA6NLw09EwE0CqkOc4q9oUmW1yo/edit?usp=sharing"",""พิจิตร!J416"")"),0)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IFERROR(__xludf.DUMMYFUNCTION("IMPORTRANGE(""https://docs.google.com/spreadsheets/d/11923uPwbBZFjjGgGUA6NLw09EwE0CqkOc4q9oUmW1yo/edit?usp=sharing"",""พิจิตร!I417"")"),0)</f>
        <v>0</v>
      </c>
      <c r="J522" s="187">
        <f ca="1">IFERROR(__xludf.DUMMYFUNCTION("IMPORTRANGE(""https://docs.google.com/spreadsheets/d/11923uPwbBZFjjGgGUA6NLw09EwE0CqkOc4q9oUmW1yo/edit?usp=sharing"",""พิจิตร!J417"")"),0)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IFERROR(__xludf.DUMMYFUNCTION("IMPORTRANGE(""https://docs.google.com/spreadsheets/d/11923uPwbBZFjjGgGUA6NLw09EwE0CqkOc4q9oUmW1yo/edit?usp=sharing"",""พิจิตร!I418"")"),0)</f>
        <v>0</v>
      </c>
      <c r="J523" s="187">
        <f ca="1">IFERROR(__xludf.DUMMYFUNCTION("IMPORTRANGE(""https://docs.google.com/spreadsheets/d/11923uPwbBZFjjGgGUA6NLw09EwE0CqkOc4q9oUmW1yo/edit?usp=sharing"",""พิจิตร!J418"")"),106)</f>
        <v>106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IFERROR(__xludf.DUMMYFUNCTION("IMPORTRANGE(""https://docs.google.com/spreadsheets/d/11923uPwbBZFjjGgGUA6NLw09EwE0CqkOc4q9oUmW1yo/edit?usp=sharing"",""พิจิตร!I419"")"),0)</f>
        <v>0</v>
      </c>
      <c r="J524" s="187">
        <f ca="1">IFERROR(__xludf.DUMMYFUNCTION("IMPORTRANGE(""https://docs.google.com/spreadsheets/d/11923uPwbBZFjjGgGUA6NLw09EwE0CqkOc4q9oUmW1yo/edit?usp=sharing"",""พิจิตร!J419"")"),30)</f>
        <v>30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IFERROR(__xludf.DUMMYFUNCTION("IMPORTRANGE(""https://docs.google.com/spreadsheets/d/11923uPwbBZFjjGgGUA6NLw09EwE0CqkOc4q9oUmW1yo/edit?usp=sharing"",""พิจิตร!I420"")"),106)</f>
        <v>106</v>
      </c>
      <c r="J525" s="284">
        <f ca="1">IFERROR(__xludf.DUMMYFUNCTION("IMPORTRANGE(""https://docs.google.com/spreadsheets/d/11923uPwbBZFjjGgGUA6NLw09EwE0CqkOc4q9oUmW1yo/edit?usp=sharing"",""พิจิตร!J420"")"),119.77)</f>
        <v>119.77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IFERROR(__xludf.DUMMYFUNCTION("IMPORTRANGE(""https://docs.google.com/spreadsheets/d/11923uPwbBZFjjGgGUA6NLw09EwE0CqkOc4q9oUmW1yo/edit?usp=sharing"",""พิจิตร!I421"")"),30)</f>
        <v>30</v>
      </c>
      <c r="J526" s="284">
        <f ca="1">IFERROR(__xludf.DUMMYFUNCTION("IMPORTRANGE(""https://docs.google.com/spreadsheets/d/11923uPwbBZFjjGgGUA6NLw09EwE0CqkOc4q9oUmW1yo/edit?usp=sharing"",""พิจิตร!J421"")"),31)</f>
        <v>31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IFERROR(__xludf.DUMMYFUNCTION("IMPORTRANGE(""https://docs.google.com/spreadsheets/d/11923uPwbBZFjjGgGUA6NLw09EwE0CqkOc4q9oUmW1yo/edit?usp=sharing"",""พิจิตร!I422"")"),0)</f>
        <v>0</v>
      </c>
      <c r="J527" s="197">
        <f ca="1">IFERROR(__xludf.DUMMYFUNCTION("IMPORTRANGE(""https://docs.google.com/spreadsheets/d/11923uPwbBZFjjGgGUA6NLw09EwE0CqkOc4q9oUmW1yo/edit?usp=sharing"",""พิจิตร!J422"")"),14.28)</f>
        <v>14.28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IFERROR(__xludf.DUMMYFUNCTION("IMPORTRANGE(""https://docs.google.com/spreadsheets/d/11923uPwbBZFjjGgGUA6NLw09EwE0CqkOc4q9oUmW1yo/edit?usp=sharing"",""พิจิตร!I423"")"),0)</f>
        <v>0</v>
      </c>
      <c r="J528" s="197">
        <f ca="1">IFERROR(__xludf.DUMMYFUNCTION("IMPORTRANGE(""https://docs.google.com/spreadsheets/d/11923uPwbBZFjjGgGUA6NLw09EwE0CqkOc4q9oUmW1yo/edit?usp=sharing"",""พิจิตร!J423"")"),6)</f>
        <v>6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IFERROR(__xludf.DUMMYFUNCTION("IMPORTRANGE(""https://docs.google.com/spreadsheets/d/11923uPwbBZFjjGgGUA6NLw09EwE0CqkOc4q9oUmW1yo/edit?usp=sharing"",""พิจิตร!I424"")"),0)</f>
        <v>0</v>
      </c>
      <c r="J529" s="197">
        <f ca="1">IFERROR(__xludf.DUMMYFUNCTION("IMPORTRANGE(""https://docs.google.com/spreadsheets/d/11923uPwbBZFjjGgGUA6NLw09EwE0CqkOc4q9oUmW1yo/edit?usp=sharing"",""พิจิตร!J424"")"),105.49)</f>
        <v>105.49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IFERROR(__xludf.DUMMYFUNCTION("IMPORTRANGE(""https://docs.google.com/spreadsheets/d/11923uPwbBZFjjGgGUA6NLw09EwE0CqkOc4q9oUmW1yo/edit?usp=sharing"",""พิจิตร!I425"")"),0)</f>
        <v>0</v>
      </c>
      <c r="J530" s="197">
        <f ca="1">IFERROR(__xludf.DUMMYFUNCTION("IMPORTRANGE(""https://docs.google.com/spreadsheets/d/11923uPwbBZFjjGgGUA6NLw09EwE0CqkOc4q9oUmW1yo/edit?usp=sharing"",""พิจิตร!J425"")"),25)</f>
        <v>25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IFERROR(__xludf.DUMMYFUNCTION("IMPORTRANGE(""https://docs.google.com/spreadsheets/d/11923uPwbBZFjjGgGUA6NLw09EwE0CqkOc4q9oUmW1yo/edit?usp=sharing"",""พิจิตร!I426"")"),0)</f>
        <v>0</v>
      </c>
      <c r="J531" s="197">
        <f ca="1">IFERROR(__xludf.DUMMYFUNCTION("IMPORTRANGE(""https://docs.google.com/spreadsheets/d/11923uPwbBZFjjGgGUA6NLw09EwE0CqkOc4q9oUmW1yo/edit?usp=sharing"",""พิจิตร!J426"")"),0)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IFERROR(__xludf.DUMMYFUNCTION("IMPORTRANGE(""https://docs.google.com/spreadsheets/d/11923uPwbBZFjjGgGUA6NLw09EwE0CqkOc4q9oUmW1yo/edit?usp=sharing"",""พิจิตร!I427"")"),0)</f>
        <v>0</v>
      </c>
      <c r="J532" s="466">
        <f ca="1">IFERROR(__xludf.DUMMYFUNCTION("IMPORTRANGE(""https://docs.google.com/spreadsheets/d/11923uPwbBZFjjGgGUA6NLw09EwE0CqkOc4q9oUmW1yo/edit?usp=sharing"",""พิจิตร!J427"")"),0)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IFERROR(__xludf.DUMMYFUNCTION("IMPORTRANGE(""https://docs.google.com/spreadsheets/d/11923uPwbBZFjjGgGUA6NLw09EwE0CqkOc4q9oUmW1yo/edit?usp=sharing"",""พิจิตร!I428"")"),22)</f>
        <v>22</v>
      </c>
      <c r="J533" s="409">
        <f ca="1">IFERROR(__xludf.DUMMYFUNCTION("IMPORTRANGE(""https://docs.google.com/spreadsheets/d/11923uPwbBZFjjGgGUA6NLw09EwE0CqkOc4q9oUmW1yo/edit?usp=sharing"",""พิจิตร!J428"")"),22)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IFERROR(__xludf.DUMMYFUNCTION("IMPORTRANGE(""https://docs.google.com/spreadsheets/d/11923uPwbBZFjjGgGUA6NLw09EwE0CqkOc4q9oUmW1yo/edit?usp=sharing"",""พิจิตร!L428"")"),34340)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IFERROR(__xludf.DUMMYFUNCTION("IMPORTRANGE(""https://docs.google.com/spreadsheets/d/11923uPwbBZFjjGgGUA6NLw09EwE0CqkOc4q9oUmW1yo/edit?usp=sharing"",""พิจิตร!M428"")"),18181)</f>
        <v>18181</v>
      </c>
      <c r="O533" s="411">
        <f t="shared" ref="O533:O537" ca="1" si="118">+IF(L533&gt;0,N533*100/L533,0)</f>
        <v>52.944088526499712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IFERROR(__xludf.DUMMYFUNCTION("IMPORTRANGE(""https://docs.google.com/spreadsheets/d/11923uPwbBZFjjGgGUA6NLw09EwE0CqkOc4q9oUmW1yo/edit?usp=sharing"",""พิจิตร!L429"")"),0)</f>
        <v>0</v>
      </c>
      <c r="M534" s="164"/>
      <c r="N534" s="168">
        <f ca="1">IFERROR(__xludf.DUMMYFUNCTION("IMPORTRANGE(""https://docs.google.com/spreadsheets/d/11923uPwbBZFjjGgGUA6NLw09EwE0CqkOc4q9oUmW1yo/edit?usp=sharing"",""พิจิตร!M429"")"),0)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IFERROR(__xludf.DUMMYFUNCTION("IMPORTRANGE(""https://docs.google.com/spreadsheets/d/11923uPwbBZFjjGgGUA6NLw09EwE0CqkOc4q9oUmW1yo/edit?usp=sharing"",""พิจิตร!L430"")"),34340)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IFERROR(__xludf.DUMMYFUNCTION("IMPORTRANGE(""https://docs.google.com/spreadsheets/d/11923uPwbBZFjjGgGUA6NLw09EwE0CqkOc4q9oUmW1yo/edit?usp=sharing"",""พิจิตร!M430"")"),18181)</f>
        <v>18181</v>
      </c>
      <c r="O535" s="168">
        <f t="shared" ca="1" si="118"/>
        <v>52.944088526499712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IFERROR(__xludf.DUMMYFUNCTION("IMPORTRANGE(""https://docs.google.com/spreadsheets/d/11923uPwbBZFjjGgGUA6NLw09EwE0CqkOc4q9oUmW1yo/edit?usp=sharing"",""พิจิตร!L431"")"),0)</f>
        <v>0</v>
      </c>
      <c r="M536" s="168"/>
      <c r="N536" s="168">
        <f ca="1">IFERROR(__xludf.DUMMYFUNCTION("IMPORTRANGE(""https://docs.google.com/spreadsheets/d/11923uPwbBZFjjGgGUA6NLw09EwE0CqkOc4q9oUmW1yo/edit?usp=sharing"",""พิจิตร!M431"")"),0)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IFERROR(__xludf.DUMMYFUNCTION("IMPORTRANGE(""https://docs.google.com/spreadsheets/d/11923uPwbBZFjjGgGUA6NLw09EwE0CqkOc4q9oUmW1yo/edit?usp=sharing"",""พิจิตร!L432"")"),34340)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IFERROR(__xludf.DUMMYFUNCTION("IMPORTRANGE(""https://docs.google.com/spreadsheets/d/11923uPwbBZFjjGgGUA6NLw09EwE0CqkOc4q9oUmW1yo/edit?usp=sharing"",""พิจิตร!M432"")"),18181)</f>
        <v>18181</v>
      </c>
      <c r="O537" s="168">
        <f t="shared" ca="1" si="118"/>
        <v>52.944088526499712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IFERROR(__xludf.DUMMYFUNCTION("IMPORTRANGE(""https://docs.google.com/spreadsheets/d/11923uPwbBZFjjGgGUA6NLw09EwE0CqkOc4q9oUmW1yo/edit?usp=sharing"",""พิจิตร!M433"")"),17181)</f>
        <v>17181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IFERROR(__xludf.DUMMYFUNCTION("IMPORTRANGE(""https://docs.google.com/spreadsheets/d/11923uPwbBZFjjGgGUA6NLw09EwE0CqkOc4q9oUmW1yo/edit?usp=sharing"",""พิจิตร!M434"")"),0)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IFERROR(__xludf.DUMMYFUNCTION("IMPORTRANGE(""https://docs.google.com/spreadsheets/d/11923uPwbBZFjjGgGUA6NLw09EwE0CqkOc4q9oUmW1yo/edit?usp=sharing"",""พิจิตร!M435"")"),0)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IFERROR(__xludf.DUMMYFUNCTION("IMPORTRANGE(""https://docs.google.com/spreadsheets/d/11923uPwbBZFjjGgGUA6NLw09EwE0CqkOc4q9oUmW1yo/edit?usp=sharing"",""พิจิตร!M436"")"),1000)</f>
        <v>1000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IFERROR(__xludf.DUMMYFUNCTION("IMPORTRANGE(""https://docs.google.com/spreadsheets/d/11923uPwbBZFjjGgGUA6NLw09EwE0CqkOc4q9oUmW1yo/edit?usp=sharing"",""พิจิตร!J438"")"),0)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IFERROR(__xludf.DUMMYFUNCTION("IMPORTRANGE(""https://docs.google.com/spreadsheets/d/11923uPwbBZFjjGgGUA6NLw09EwE0CqkOc4q9oUmW1yo/edit?usp=sharing"",""พิจิตร!J439"")"),1)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IFERROR(__xludf.DUMMYFUNCTION("IMPORTRANGE(""https://docs.google.com/spreadsheets/d/11923uPwbBZFjjGgGUA6NLw09EwE0CqkOc4q9oUmW1yo/edit?usp=sharing"",""พิจิตร!J440"")"),1)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IFERROR(__xludf.DUMMYFUNCTION("IMPORTRANGE(""https://docs.google.com/spreadsheets/d/11923uPwbBZFjjGgGUA6NLw09EwE0CqkOc4q9oUmW1yo/edit?usp=sharing"",""พิจิตร!J441"")"),1)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IFERROR(__xludf.DUMMYFUNCTION("IMPORTRANGE(""https://docs.google.com/spreadsheets/d/11923uPwbBZFjjGgGUA6NLw09EwE0CqkOc4q9oUmW1yo/edit?usp=sharing"",""พิจิตร!I442"")"),22)</f>
        <v>22</v>
      </c>
      <c r="J547" s="188">
        <f ca="1">IFERROR(__xludf.DUMMYFUNCTION("IMPORTRANGE(""https://docs.google.com/spreadsheets/d/11923uPwbBZFjjGgGUA6NLw09EwE0CqkOc4q9oUmW1yo/edit?usp=sharing"",""พิจิตร!J442"")"),22)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IFERROR(__xludf.DUMMYFUNCTION("IMPORTRANGE(""https://docs.google.com/spreadsheets/d/11923uPwbBZFjjGgGUA6NLw09EwE0CqkOc4q9oUmW1yo/edit?usp=sharing"",""พิจิตร!J166"")"),0)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IFERROR(__xludf.DUMMYFUNCTION("IMPORTRANGE(""https://docs.google.com/spreadsheets/d/11923uPwbBZFjjGgGUA6NLw09EwE0CqkOc4q9oUmW1yo/edit?usp=sharing"",""พิจิตร!J444"")"),1)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IFERROR(__xludf.DUMMYFUNCTION("IMPORTRANGE(""https://docs.google.com/spreadsheets/d/11923uPwbBZFjjGgGUA6NLw09EwE0CqkOc4q9oUmW1yo/edit?usp=sharing"",""พิจิตร!J445"")"),0)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IFERROR(__xludf.DUMMYFUNCTION("IMPORTRANGE(""https://docs.google.com/spreadsheets/d/11923uPwbBZFjjGgGUA6NLw09EwE0CqkOc4q9oUmW1yo/edit?usp=sharing"",""พิจิตร!I446"")"),0)</f>
        <v>0</v>
      </c>
      <c r="J551" s="409">
        <f ca="1">IFERROR(__xludf.DUMMYFUNCTION("IMPORTRANGE(""https://docs.google.com/spreadsheets/d/11923uPwbBZFjjGgGUA6NLw09EwE0CqkOc4q9oUmW1yo/edit?usp=sharing"",""พิจิตร!J446"")"),0)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IFERROR(__xludf.DUMMYFUNCTION("IMPORTRANGE(""https://docs.google.com/spreadsheets/d/11923uPwbBZFjjGgGUA6NLw09EwE0CqkOc4q9oUmW1yo/edit?usp=sharing"",""พิจิตร!L446"")"),0)</f>
        <v>0</v>
      </c>
      <c r="M551" s="411"/>
      <c r="N551" s="411">
        <f ca="1">IFERROR(__xludf.DUMMYFUNCTION("IMPORTRANGE(""https://docs.google.com/spreadsheets/d/11923uPwbBZFjjGgGUA6NLw09EwE0CqkOc4q9oUmW1yo/edit?usp=sharing"",""พิจิตร!M446"")"),0)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IFERROR(__xludf.DUMMYFUNCTION("IMPORTRANGE(""https://docs.google.com/spreadsheets/d/11923uPwbBZFjjGgGUA6NLw09EwE0CqkOc4q9oUmW1yo/edit?usp=sharing"",""พิจิตร!L447"")"),0)</f>
        <v>0</v>
      </c>
      <c r="M552" s="164"/>
      <c r="N552" s="168">
        <f ca="1">IFERROR(__xludf.DUMMYFUNCTION("IMPORTRANGE(""https://docs.google.com/spreadsheets/d/11923uPwbBZFjjGgGUA6NLw09EwE0CqkOc4q9oUmW1yo/edit?usp=sharing"",""พิจิตร!M447"")"),0)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IFERROR(__xludf.DUMMYFUNCTION("IMPORTRANGE(""https://docs.google.com/spreadsheets/d/11923uPwbBZFjjGgGUA6NLw09EwE0CqkOc4q9oUmW1yo/edit?usp=sharing"",""พิจิตร!L448"")"),0)</f>
        <v>0</v>
      </c>
      <c r="M553" s="165"/>
      <c r="N553" s="168">
        <f ca="1">IFERROR(__xludf.DUMMYFUNCTION("IMPORTRANGE(""https://docs.google.com/spreadsheets/d/11923uPwbBZFjjGgGUA6NLw09EwE0CqkOc4q9oUmW1yo/edit?usp=sharing"",""พิจิตร!M448"")"),0)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IFERROR(__xludf.DUMMYFUNCTION("IMPORTRANGE(""https://docs.google.com/spreadsheets/d/11923uPwbBZFjjGgGUA6NLw09EwE0CqkOc4q9oUmW1yo/edit?usp=sharing"",""พิจิตร!L449"")"),0)</f>
        <v>0</v>
      </c>
      <c r="M554" s="168"/>
      <c r="N554" s="168">
        <f ca="1">IFERROR(__xludf.DUMMYFUNCTION("IMPORTRANGE(""https://docs.google.com/spreadsheets/d/11923uPwbBZFjjGgGUA6NLw09EwE0CqkOc4q9oUmW1yo/edit?usp=sharing"",""พิจิตร!M449"")"),0)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IFERROR(__xludf.DUMMYFUNCTION("IMPORTRANGE(""https://docs.google.com/spreadsheets/d/11923uPwbBZFjjGgGUA6NLw09EwE0CqkOc4q9oUmW1yo/edit?usp=sharing"",""พิจิตร!L450"")"),0)</f>
        <v>0</v>
      </c>
      <c r="M555" s="168"/>
      <c r="N555" s="168">
        <f ca="1">IFERROR(__xludf.DUMMYFUNCTION("IMPORTRANGE(""https://docs.google.com/spreadsheets/d/11923uPwbBZFjjGgGUA6NLw09EwE0CqkOc4q9oUmW1yo/edit?usp=sharing"",""พิจิตร!M450"")"),0)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IFERROR(__xludf.DUMMYFUNCTION("IMPORTRANGE(""https://docs.google.com/spreadsheets/d/11923uPwbBZFjjGgGUA6NLw09EwE0CqkOc4q9oUmW1yo/edit?usp=sharing"",""พิจิตร!M451"")"),0)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IFERROR(__xludf.DUMMYFUNCTION("IMPORTRANGE(""https://docs.google.com/spreadsheets/d/11923uPwbBZFjjGgGUA6NLw09EwE0CqkOc4q9oUmW1yo/edit?usp=sharing"",""พิจิตร!M452"")"),0)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IFERROR(__xludf.DUMMYFUNCTION("IMPORTRANGE(""https://docs.google.com/spreadsheets/d/11923uPwbBZFjjGgGUA6NLw09EwE0CqkOc4q9oUmW1yo/edit?usp=sharing"",""พิจิตร!M453"")"),0)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IFERROR(__xludf.DUMMYFUNCTION("IMPORTRANGE(""https://docs.google.com/spreadsheets/d/11923uPwbBZFjjGgGUA6NLw09EwE0CqkOc4q9oUmW1yo/edit?usp=sharing"",""พิจิตร!M454"")"),0)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IFERROR(__xludf.DUMMYFUNCTION("IMPORTRANGE(""https://docs.google.com/spreadsheets/d/11923uPwbBZFjjGgGUA6NLw09EwE0CqkOc4q9oUmW1yo/edit?usp=sharing"",""พิจิตร!I455"")"),0)</f>
        <v>0</v>
      </c>
      <c r="J560" s="162">
        <f ca="1">IFERROR(__xludf.DUMMYFUNCTION("IMPORTRANGE(""https://docs.google.com/spreadsheets/d/11923uPwbBZFjjGgGUA6NLw09EwE0CqkOc4q9oUmW1yo/edit?usp=sharing"",""พิจิตร!J455"")"),0)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IFERROR(__xludf.DUMMYFUNCTION("IMPORTRANGE(""https://docs.google.com/spreadsheets/d/11923uPwbBZFjjGgGUA6NLw09EwE0CqkOc4q9oUmW1yo/edit?usp=sharing"",""พิจิตร!I456"")"),0)</f>
        <v>0</v>
      </c>
      <c r="J561" s="203">
        <f ca="1">IFERROR(__xludf.DUMMYFUNCTION("IMPORTRANGE(""https://docs.google.com/spreadsheets/d/11923uPwbBZFjjGgGUA6NLw09EwE0CqkOc4q9oUmW1yo/edit?usp=sharing"",""พิจิตร!J456"")"),0)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IFERROR(__xludf.DUMMYFUNCTION("IMPORTRANGE(""https://docs.google.com/spreadsheets/d/11923uPwbBZFjjGgGUA6NLw09EwE0CqkOc4q9oUmW1yo/edit?usp=sharing"",""พิจิตร!I459"")"),1100)</f>
        <v>1100</v>
      </c>
      <c r="J564" s="370">
        <f ca="1">IFERROR(__xludf.DUMMYFUNCTION("IMPORTRANGE(""https://docs.google.com/spreadsheets/d/11923uPwbBZFjjGgGUA6NLw09EwE0CqkOc4q9oUmW1yo/edit?usp=sharing"",""พิจิตร!J459"")"),1196)</f>
        <v>1196</v>
      </c>
      <c r="K564" s="371">
        <f ca="1">IF(I564&gt;0,J564*100/I564,0)</f>
        <v>108.72727272727273</v>
      </c>
      <c r="L564" s="372">
        <f ca="1">IFERROR(__xludf.DUMMYFUNCTION("IMPORTRANGE(""https://docs.google.com/spreadsheets/d/11923uPwbBZFjjGgGUA6NLw09EwE0CqkOc4q9oUmW1yo/edit?usp=sharing"",""พิจิตร!L459"")"),126080)</f>
        <v>126080</v>
      </c>
      <c r="M564" s="372"/>
      <c r="N564" s="372">
        <f ca="1">IFERROR(__xludf.DUMMYFUNCTION("IMPORTRANGE(""https://docs.google.com/spreadsheets/d/11923uPwbBZFjjGgGUA6NLw09EwE0CqkOc4q9oUmW1yo/edit?usp=sharing"",""พิจิตร!M459"")"),89006.19)</f>
        <v>89006.19</v>
      </c>
      <c r="O564" s="372">
        <f t="shared" ref="O564:O568" ca="1" si="122">+IF(L564&gt;0,N564*100/L564,0)</f>
        <v>70.595011104060916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IFERROR(__xludf.DUMMYFUNCTION("IMPORTRANGE(""https://docs.google.com/spreadsheets/d/11923uPwbBZFjjGgGUA6NLw09EwE0CqkOc4q9oUmW1yo/edit?usp=sharing"",""พิจิตร!L460"")"),0)</f>
        <v>0</v>
      </c>
      <c r="M565" s="164"/>
      <c r="N565" s="168">
        <f ca="1">IFERROR(__xludf.DUMMYFUNCTION("IMPORTRANGE(""https://docs.google.com/spreadsheets/d/11923uPwbBZFjjGgGUA6NLw09EwE0CqkOc4q9oUmW1yo/edit?usp=sharing"",""พิจิตร!M460"")"),0)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IFERROR(__xludf.DUMMYFUNCTION("IMPORTRANGE(""https://docs.google.com/spreadsheets/d/11923uPwbBZFjjGgGUA6NLw09EwE0CqkOc4q9oUmW1yo/edit?usp=sharing"",""พิจิตร!L461"")"),126080)</f>
        <v>126080</v>
      </c>
      <c r="M566" s="165"/>
      <c r="N566" s="168">
        <f ca="1">IFERROR(__xludf.DUMMYFUNCTION("IMPORTRANGE(""https://docs.google.com/spreadsheets/d/11923uPwbBZFjjGgGUA6NLw09EwE0CqkOc4q9oUmW1yo/edit?usp=sharing"",""พิจิตร!M461"")"),89006.19)</f>
        <v>89006.19</v>
      </c>
      <c r="O566" s="168">
        <f t="shared" ca="1" si="122"/>
        <v>70.595011104060916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IFERROR(__xludf.DUMMYFUNCTION("IMPORTRANGE(""https://docs.google.com/spreadsheets/d/11923uPwbBZFjjGgGUA6NLw09EwE0CqkOc4q9oUmW1yo/edit?usp=sharing"",""พิจิตร!L462"")"),0)</f>
        <v>0</v>
      </c>
      <c r="M567" s="168"/>
      <c r="N567" s="168">
        <f ca="1">IFERROR(__xludf.DUMMYFUNCTION("IMPORTRANGE(""https://docs.google.com/spreadsheets/d/11923uPwbBZFjjGgGUA6NLw09EwE0CqkOc4q9oUmW1yo/edit?usp=sharing"",""พิจิตร!M462"")"),0)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IFERROR(__xludf.DUMMYFUNCTION("IMPORTRANGE(""https://docs.google.com/spreadsheets/d/11923uPwbBZFjjGgGUA6NLw09EwE0CqkOc4q9oUmW1yo/edit?usp=sharing"",""พิจิตร!L463"")"),126080)</f>
        <v>126080</v>
      </c>
      <c r="M568" s="168"/>
      <c r="N568" s="168">
        <f ca="1">IFERROR(__xludf.DUMMYFUNCTION("IMPORTRANGE(""https://docs.google.com/spreadsheets/d/11923uPwbBZFjjGgGUA6NLw09EwE0CqkOc4q9oUmW1yo/edit?usp=sharing"",""พิจิตร!M463"")"),89006.19)</f>
        <v>89006.19</v>
      </c>
      <c r="O568" s="168">
        <f t="shared" ca="1" si="122"/>
        <v>70.595011104060916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IFERROR(__xludf.DUMMYFUNCTION("IMPORTRANGE(""https://docs.google.com/spreadsheets/d/11923uPwbBZFjjGgGUA6NLw09EwE0CqkOc4q9oUmW1yo/edit?usp=sharing"",""พิจิตร!M464"")"),0)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IFERROR(__xludf.DUMMYFUNCTION("IMPORTRANGE(""https://docs.google.com/spreadsheets/d/11923uPwbBZFjjGgGUA6NLw09EwE0CqkOc4q9oUmW1yo/edit?usp=sharing"",""พิจิตร!M465"")"),0)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IFERROR(__xludf.DUMMYFUNCTION("IMPORTRANGE(""https://docs.google.com/spreadsheets/d/11923uPwbBZFjjGgGUA6NLw09EwE0CqkOc4q9oUmW1yo/edit?usp=sharing"",""พิจิตร!M466"")"),79330.19)</f>
        <v>79330.19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IFERROR(__xludf.DUMMYFUNCTION("IMPORTRANGE(""https://docs.google.com/spreadsheets/d/11923uPwbBZFjjGgGUA6NLw09EwE0CqkOc4q9oUmW1yo/edit?usp=sharing"",""พิจิตร!M467"")"),9676)</f>
        <v>9676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IFERROR(__xludf.DUMMYFUNCTION("IMPORTRANGE(""https://docs.google.com/spreadsheets/d/11923uPwbBZFjjGgGUA6NLw09EwE0CqkOc4q9oUmW1yo/edit?usp=sharing"",""พิจิตร!I468"")"),1100)</f>
        <v>1100</v>
      </c>
      <c r="J573" s="420">
        <f ca="1">IFERROR(__xludf.DUMMYFUNCTION("IMPORTRANGE(""https://docs.google.com/spreadsheets/d/11923uPwbBZFjjGgGUA6NLw09EwE0CqkOc4q9oUmW1yo/edit?usp=sharing"",""พิจิตร!J468"")"),1196)</f>
        <v>1196</v>
      </c>
      <c r="K573" s="201">
        <f ca="1">IF(I573&gt;0,J573*100/I573,0)</f>
        <v>108.72727272727273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IFERROR(__xludf.DUMMYFUNCTION("IMPORTRANGE(""https://docs.google.com/spreadsheets/d/11923uPwbBZFjjGgGUA6NLw09EwE0CqkOc4q9oUmW1yo/edit?usp=sharing"",""พิจิตร!I470"")"),0)</f>
        <v>0</v>
      </c>
      <c r="J575" s="197">
        <f ca="1">IFERROR(__xludf.DUMMYFUNCTION("IMPORTRANGE(""https://docs.google.com/spreadsheets/d/11923uPwbBZFjjGgGUA6NLw09EwE0CqkOc4q9oUmW1yo/edit?usp=sharing"",""พิจิตร!J470"")"),9)</f>
        <v>9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IFERROR(__xludf.DUMMYFUNCTION("IMPORTRANGE(""https://docs.google.com/spreadsheets/d/11923uPwbBZFjjGgGUA6NLw09EwE0CqkOc4q9oUmW1yo/edit?usp=sharing"",""พิจิตร!I471"")"),0)</f>
        <v>0</v>
      </c>
      <c r="J576" s="197">
        <f ca="1">IFERROR(__xludf.DUMMYFUNCTION("IMPORTRANGE(""https://docs.google.com/spreadsheets/d/11923uPwbBZFjjGgGUA6NLw09EwE0CqkOc4q9oUmW1yo/edit?usp=sharing"",""พิจิตร!J471"")"),239)</f>
        <v>239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IFERROR(__xludf.DUMMYFUNCTION("IMPORTRANGE(""https://docs.google.com/spreadsheets/d/11923uPwbBZFjjGgGUA6NLw09EwE0CqkOc4q9oUmW1yo/edit?usp=sharing"",""พิจิตร!I472"")"),0)</f>
        <v>0</v>
      </c>
      <c r="J577" s="188">
        <f ca="1">IFERROR(__xludf.DUMMYFUNCTION("IMPORTRANGE(""https://docs.google.com/spreadsheets/d/11923uPwbBZFjjGgGUA6NLw09EwE0CqkOc4q9oUmW1yo/edit?usp=sharing"",""พิจิตร!J472"")"),957)</f>
        <v>957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IFERROR(__xludf.DUMMYFUNCTION("IMPORTRANGE(""https://docs.google.com/spreadsheets/d/11923uPwbBZFjjGgGUA6NLw09EwE0CqkOc4q9oUmW1yo/edit?usp=sharing"",""พิจิตร!I473"")"),0)</f>
        <v>0</v>
      </c>
      <c r="J578" s="197">
        <f ca="1">IFERROR(__xludf.DUMMYFUNCTION("IMPORTRANGE(""https://docs.google.com/spreadsheets/d/11923uPwbBZFjjGgGUA6NLw09EwE0CqkOc4q9oUmW1yo/edit?usp=sharing"",""พิจิตร!J473"")"),0)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IFERROR(__xludf.DUMMYFUNCTION("IMPORTRANGE(""https://docs.google.com/spreadsheets/d/11923uPwbBZFjjGgGUA6NLw09EwE0CqkOc4q9oUmW1yo/edit?usp=sharing"",""พิจิตร!I474"")"),0)</f>
        <v>0</v>
      </c>
      <c r="J579" s="197">
        <f ca="1">IFERROR(__xludf.DUMMYFUNCTION("IMPORTRANGE(""https://docs.google.com/spreadsheets/d/11923uPwbBZFjjGgGUA6NLw09EwE0CqkOc4q9oUmW1yo/edit?usp=sharing"",""พิจิตร!J474"")"),0)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IFERROR(__xludf.DUMMYFUNCTION("IMPORTRANGE(""https://docs.google.com/spreadsheets/d/11923uPwbBZFjjGgGUA6NLw09EwE0CqkOc4q9oUmW1yo/edit?usp=sharing"",""พิจิตร!I475"")"),200)</f>
        <v>200</v>
      </c>
      <c r="J580" s="370">
        <f ca="1">IFERROR(__xludf.DUMMYFUNCTION("IMPORTRANGE(""https://docs.google.com/spreadsheets/d/11923uPwbBZFjjGgGUA6NLw09EwE0CqkOc4q9oUmW1yo/edit?usp=sharing"",""พิจิตร!J475"")"),20)</f>
        <v>20</v>
      </c>
      <c r="K580" s="371">
        <f ca="1">IF(I580&gt;0,J580*100/I580,0)</f>
        <v>10</v>
      </c>
      <c r="L580" s="372">
        <f ca="1">IFERROR(__xludf.DUMMYFUNCTION("IMPORTRANGE(""https://docs.google.com/spreadsheets/d/11923uPwbBZFjjGgGUA6NLw09EwE0CqkOc4q9oUmW1yo/edit?usp=sharing"",""พิจิตร!L475"")"),352400)</f>
        <v>352400</v>
      </c>
      <c r="M580" s="372"/>
      <c r="N580" s="372">
        <f ca="1">IFERROR(__xludf.DUMMYFUNCTION("IMPORTRANGE(""https://docs.google.com/spreadsheets/d/11923uPwbBZFjjGgGUA6NLw09EwE0CqkOc4q9oUmW1yo/edit?usp=sharing"",""พิจิตร!M475"")"),193099.64)</f>
        <v>193099.64</v>
      </c>
      <c r="O580" s="372">
        <f t="shared" ref="O580:O584" ca="1" si="124">+IF(L580&gt;0,N580*100/L580,0)</f>
        <v>54.795584562996595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IFERROR(__xludf.DUMMYFUNCTION("IMPORTRANGE(""https://docs.google.com/spreadsheets/d/11923uPwbBZFjjGgGUA6NLw09EwE0CqkOc4q9oUmW1yo/edit?usp=sharing"",""พิจิตร!L476"")"),0)</f>
        <v>0</v>
      </c>
      <c r="M581" s="164"/>
      <c r="N581" s="168">
        <f ca="1">IFERROR(__xludf.DUMMYFUNCTION("IMPORTRANGE(""https://docs.google.com/spreadsheets/d/11923uPwbBZFjjGgGUA6NLw09EwE0CqkOc4q9oUmW1yo/edit?usp=sharing"",""พิจิตร!M476"")"),0)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IFERROR(__xludf.DUMMYFUNCTION("IMPORTRANGE(""https://docs.google.com/spreadsheets/d/11923uPwbBZFjjGgGUA6NLw09EwE0CqkOc4q9oUmW1yo/edit?usp=sharing"",""พิจิตร!L477"")"),352400)</f>
        <v>352400</v>
      </c>
      <c r="M582" s="165"/>
      <c r="N582" s="168">
        <f ca="1">IFERROR(__xludf.DUMMYFUNCTION("IMPORTRANGE(""https://docs.google.com/spreadsheets/d/11923uPwbBZFjjGgGUA6NLw09EwE0CqkOc4q9oUmW1yo/edit?usp=sharing"",""พิจิตร!M477"")"),193099.64)</f>
        <v>193099.64</v>
      </c>
      <c r="O582" s="168">
        <f t="shared" ca="1" si="124"/>
        <v>54.795584562996595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IFERROR(__xludf.DUMMYFUNCTION("IMPORTRANGE(""https://docs.google.com/spreadsheets/d/11923uPwbBZFjjGgGUA6NLw09EwE0CqkOc4q9oUmW1yo/edit?usp=sharing"",""พิจิตร!L478"")"),0)</f>
        <v>0</v>
      </c>
      <c r="M583" s="168"/>
      <c r="N583" s="168">
        <f ca="1">IFERROR(__xludf.DUMMYFUNCTION("IMPORTRANGE(""https://docs.google.com/spreadsheets/d/11923uPwbBZFjjGgGUA6NLw09EwE0CqkOc4q9oUmW1yo/edit?usp=sharing"",""พิจิตร!M478"")"),0)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IFERROR(__xludf.DUMMYFUNCTION("IMPORTRANGE(""https://docs.google.com/spreadsheets/d/11923uPwbBZFjjGgGUA6NLw09EwE0CqkOc4q9oUmW1yo/edit?usp=sharing"",""พิจิตร!L479"")"),352400)</f>
        <v>352400</v>
      </c>
      <c r="M584" s="168"/>
      <c r="N584" s="168">
        <f ca="1">IFERROR(__xludf.DUMMYFUNCTION("IMPORTRANGE(""https://docs.google.com/spreadsheets/d/11923uPwbBZFjjGgGUA6NLw09EwE0CqkOc4q9oUmW1yo/edit?usp=sharing"",""พิจิตร!M479"")"),193099.64)</f>
        <v>193099.64</v>
      </c>
      <c r="O584" s="168">
        <f t="shared" ca="1" si="124"/>
        <v>54.795584562996595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IFERROR(__xludf.DUMMYFUNCTION("IMPORTRANGE(""https://docs.google.com/spreadsheets/d/11923uPwbBZFjjGgGUA6NLw09EwE0CqkOc4q9oUmW1yo/edit?usp=sharing"",""พิจิตร!M480"")"),0)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IFERROR(__xludf.DUMMYFUNCTION("IMPORTRANGE(""https://docs.google.com/spreadsheets/d/11923uPwbBZFjjGgGUA6NLw09EwE0CqkOc4q9oUmW1yo/edit?usp=sharing"",""พิจิตร!M481"")"),0)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IFERROR(__xludf.DUMMYFUNCTION("IMPORTRANGE(""https://docs.google.com/spreadsheets/d/11923uPwbBZFjjGgGUA6NLw09EwE0CqkOc4q9oUmW1yo/edit?usp=sharing"",""พิจิตร!M482"")"),80465.59)</f>
        <v>80465.59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IFERROR(__xludf.DUMMYFUNCTION("IMPORTRANGE(""https://docs.google.com/spreadsheets/d/11923uPwbBZFjjGgGUA6NLw09EwE0CqkOc4q9oUmW1yo/edit?usp=sharing"",""พิจิตร!M483"")"),112634.05)</f>
        <v>112634.05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IFERROR(__xludf.DUMMYFUNCTION("IMPORTRANGE(""https://docs.google.com/spreadsheets/d/11923uPwbBZFjjGgGUA6NLw09EwE0CqkOc4q9oUmW1yo/edit?usp=sharing"",""พิจิตร!I484"")"),200)</f>
        <v>200</v>
      </c>
      <c r="J589" s="187">
        <f ca="1">IFERROR(__xludf.DUMMYFUNCTION("IMPORTRANGE(""https://docs.google.com/spreadsheets/d/11923uPwbBZFjjGgGUA6NLw09EwE0CqkOc4q9oUmW1yo/edit?usp=sharing"",""พิจิตร!J484"")"),232)</f>
        <v>232</v>
      </c>
      <c r="K589" s="163">
        <f t="shared" ref="K589:K596" ca="1" si="125">IF(I589&gt;0,J589*100/I589,0)</f>
        <v>116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IFERROR(__xludf.DUMMYFUNCTION("IMPORTRANGE(""https://docs.google.com/spreadsheets/d/11923uPwbBZFjjGgGUA6NLw09EwE0CqkOc4q9oUmW1yo/edit?usp=sharing"",""พิจิตร!I485"")"),0)</f>
        <v>0</v>
      </c>
      <c r="J590" s="187">
        <f ca="1">IFERROR(__xludf.DUMMYFUNCTION("IMPORTRANGE(""https://docs.google.com/spreadsheets/d/11923uPwbBZFjjGgGUA6NLw09EwE0CqkOc4q9oUmW1yo/edit?usp=sharing"",""พิจิตร!J485"")"),163.74)</f>
        <v>163.74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IFERROR(__xludf.DUMMYFUNCTION("IMPORTRANGE(""https://docs.google.com/spreadsheets/d/11923uPwbBZFjjGgGUA6NLw09EwE0CqkOc4q9oUmW1yo/edit?usp=sharing"",""พิจิตร!I486"")"),200)</f>
        <v>200</v>
      </c>
      <c r="J591" s="187">
        <f ca="1">IFERROR(__xludf.DUMMYFUNCTION("IMPORTRANGE(""https://docs.google.com/spreadsheets/d/11923uPwbBZFjjGgGUA6NLw09EwE0CqkOc4q9oUmW1yo/edit?usp=sharing"",""พิจิตร!J486"")"),149)</f>
        <v>149</v>
      </c>
      <c r="K591" s="163">
        <f t="shared" ca="1" si="125"/>
        <v>74.5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IFERROR(__xludf.DUMMYFUNCTION("IMPORTRANGE(""https://docs.google.com/spreadsheets/d/11923uPwbBZFjjGgGUA6NLw09EwE0CqkOc4q9oUmW1yo/edit?usp=sharing"",""พิจิตร!I487"")"),0)</f>
        <v>0</v>
      </c>
      <c r="J592" s="187">
        <f ca="1">IFERROR(__xludf.DUMMYFUNCTION("IMPORTRANGE(""https://docs.google.com/spreadsheets/d/11923uPwbBZFjjGgGUA6NLw09EwE0CqkOc4q9oUmW1yo/edit?usp=sharing"",""พิจิตร!J487"")"),96.13)</f>
        <v>96.13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IFERROR(__xludf.DUMMYFUNCTION("IMPORTRANGE(""https://docs.google.com/spreadsheets/d/11923uPwbBZFjjGgGUA6NLw09EwE0CqkOc4q9oUmW1yo/edit?usp=sharing"",""พิจิตร!I488"")"),200)</f>
        <v>200</v>
      </c>
      <c r="J593" s="187">
        <f ca="1">IFERROR(__xludf.DUMMYFUNCTION("IMPORTRANGE(""https://docs.google.com/spreadsheets/d/11923uPwbBZFjjGgGUA6NLw09EwE0CqkOc4q9oUmW1yo/edit?usp=sharing"",""พิจิตร!J488"")"),0)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IFERROR(__xludf.DUMMYFUNCTION("IMPORTRANGE(""https://docs.google.com/spreadsheets/d/11923uPwbBZFjjGgGUA6NLw09EwE0CqkOc4q9oUmW1yo/edit?usp=sharing"",""พิจิตร!I489"")"),0)</f>
        <v>0</v>
      </c>
      <c r="J594" s="187">
        <f ca="1">IFERROR(__xludf.DUMMYFUNCTION("IMPORTRANGE(""https://docs.google.com/spreadsheets/d/11923uPwbBZFjjGgGUA6NLw09EwE0CqkOc4q9oUmW1yo/edit?usp=sharing"",""พิจิตร!J489"")"),0)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IFERROR(__xludf.DUMMYFUNCTION("IMPORTRANGE(""https://docs.google.com/spreadsheets/d/11923uPwbBZFjjGgGUA6NLw09EwE0CqkOc4q9oUmW1yo/edit?usp=sharing"",""พิจิตร!I490"")"),200)</f>
        <v>200</v>
      </c>
      <c r="J595" s="187">
        <f ca="1">IFERROR(__xludf.DUMMYFUNCTION("IMPORTRANGE(""https://docs.google.com/spreadsheets/d/11923uPwbBZFjjGgGUA6NLw09EwE0CqkOc4q9oUmW1yo/edit?usp=sharing"",""พิจิตร!J490"")"),20)</f>
        <v>20</v>
      </c>
      <c r="K595" s="163">
        <f t="shared" ca="1" si="125"/>
        <v>10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IFERROR(__xludf.DUMMYFUNCTION("IMPORTRANGE(""https://docs.google.com/spreadsheets/d/11923uPwbBZFjjGgGUA6NLw09EwE0CqkOc4q9oUmW1yo/edit?usp=sharing"",""พิจิตร!I491"")"),0)</f>
        <v>0</v>
      </c>
      <c r="J596" s="241">
        <f ca="1">IFERROR(__xludf.DUMMYFUNCTION("IMPORTRANGE(""https://docs.google.com/spreadsheets/d/11923uPwbBZFjjGgGUA6NLw09EwE0CqkOc4q9oUmW1yo/edit?usp=sharing"",""พิจิตร!J491"")"),13.84)</f>
        <v>13.84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IFERROR(__xludf.DUMMYFUNCTION("IMPORTRANGE(""https://docs.google.com/spreadsheets/d/11923uPwbBZFjjGgGUA6NLw09EwE0CqkOc4q9oUmW1yo/edit?usp=sharing"",""พิจิตร!I492"")"),50)</f>
        <v>50</v>
      </c>
      <c r="J597" s="488">
        <f ca="1">IFERROR(__xludf.DUMMYFUNCTION("IMPORTRANGE(""https://docs.google.com/spreadsheets/d/11923uPwbBZFjjGgGUA6NLw09EwE0CqkOc4q9oUmW1yo/edit?usp=sharing"",""พิจิตร!J492"")"),0)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IFERROR(__xludf.DUMMYFUNCTION("IMPORTRANGE(""https://docs.google.com/spreadsheets/d/11923uPwbBZFjjGgGUA6NLw09EwE0CqkOc4q9oUmW1yo/edit?usp=sharing"",""พิจิตร!L492"")"),4550)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IFERROR(__xludf.DUMMYFUNCTION("IMPORTRANGE(""https://docs.google.com/spreadsheets/d/11923uPwbBZFjjGgGUA6NLw09EwE0CqkOc4q9oUmW1yo/edit?usp=sharing"",""พิจิตร!M492"")"),1794)</f>
        <v>1794</v>
      </c>
      <c r="O597" s="411">
        <f t="shared" ref="O597:O601" ca="1" si="126">+IF(L597&gt;0,N597*100/L597,0)</f>
        <v>39.428571428571431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IFERROR(__xludf.DUMMYFUNCTION("IMPORTRANGE(""https://docs.google.com/spreadsheets/d/11923uPwbBZFjjGgGUA6NLw09EwE0CqkOc4q9oUmW1yo/edit?usp=sharing"",""พิจิตร!L493"")"),0)</f>
        <v>0</v>
      </c>
      <c r="M598" s="164"/>
      <c r="N598" s="168">
        <f ca="1">IFERROR(__xludf.DUMMYFUNCTION("IMPORTRANGE(""https://docs.google.com/spreadsheets/d/11923uPwbBZFjjGgGUA6NLw09EwE0CqkOc4q9oUmW1yo/edit?usp=sharing"",""พิจิตร!M493"")"),0)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IFERROR(__xludf.DUMMYFUNCTION("IMPORTRANGE(""https://docs.google.com/spreadsheets/d/11923uPwbBZFjjGgGUA6NLw09EwE0CqkOc4q9oUmW1yo/edit?usp=sharing"",""พิจิตร!L494"")"),4550)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IFERROR(__xludf.DUMMYFUNCTION("IMPORTRANGE(""https://docs.google.com/spreadsheets/d/11923uPwbBZFjjGgGUA6NLw09EwE0CqkOc4q9oUmW1yo/edit?usp=sharing"",""พิจิตร!M494"")"),1794)</f>
        <v>1794</v>
      </c>
      <c r="O599" s="168">
        <f t="shared" ca="1" si="126"/>
        <v>39.428571428571431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IFERROR(__xludf.DUMMYFUNCTION("IMPORTRANGE(""https://docs.google.com/spreadsheets/d/11923uPwbBZFjjGgGUA6NLw09EwE0CqkOc4q9oUmW1yo/edit?usp=sharing"",""พิจิตร!L495"")"),0)</f>
        <v>0</v>
      </c>
      <c r="M600" s="168"/>
      <c r="N600" s="168">
        <f ca="1">IFERROR(__xludf.DUMMYFUNCTION("IMPORTRANGE(""https://docs.google.com/spreadsheets/d/11923uPwbBZFjjGgGUA6NLw09EwE0CqkOc4q9oUmW1yo/edit?usp=sharing"",""พิจิตร!M495"")"),0)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IFERROR(__xludf.DUMMYFUNCTION("IMPORTRANGE(""https://docs.google.com/spreadsheets/d/11923uPwbBZFjjGgGUA6NLw09EwE0CqkOc4q9oUmW1yo/edit?usp=sharing"",""พิจิตร!L496"")"),4550)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IFERROR(__xludf.DUMMYFUNCTION("IMPORTRANGE(""https://docs.google.com/spreadsheets/d/11923uPwbBZFjjGgGUA6NLw09EwE0CqkOc4q9oUmW1yo/edit?usp=sharing"",""พิจิตร!M496"")"),1794)</f>
        <v>1794</v>
      </c>
      <c r="O601" s="168">
        <f t="shared" ca="1" si="126"/>
        <v>39.428571428571431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IFERROR(__xludf.DUMMYFUNCTION("IMPORTRANGE(""https://docs.google.com/spreadsheets/d/11923uPwbBZFjjGgGUA6NLw09EwE0CqkOc4q9oUmW1yo/edit?usp=sharing"",""พิจิตร!M497"")"),0)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IFERROR(__xludf.DUMMYFUNCTION("IMPORTRANGE(""https://docs.google.com/spreadsheets/d/11923uPwbBZFjjGgGUA6NLw09EwE0CqkOc4q9oUmW1yo/edit?usp=sharing"",""พิจิตร!M498"")"),0)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IFERROR(__xludf.DUMMYFUNCTION("IMPORTRANGE(""https://docs.google.com/spreadsheets/d/11923uPwbBZFjjGgGUA6NLw09EwE0CqkOc4q9oUmW1yo/edit?usp=sharing"",""พิจิตร!M499"")"),0)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IFERROR(__xludf.DUMMYFUNCTION("IMPORTRANGE(""https://docs.google.com/spreadsheets/d/11923uPwbBZFjjGgGUA6NLw09EwE0CqkOc4q9oUmW1yo/edit?usp=sharing"",""พิจิตร!M500"")"),1794)</f>
        <v>1794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IFERROR(__xludf.DUMMYFUNCTION("IMPORTRANGE(""https://docs.google.com/spreadsheets/d/11923uPwbBZFjjGgGUA6NLw09EwE0CqkOc4q9oUmW1yo/edit?usp=sharing"",""พิจิตร!J502"")"),0)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IFERROR(__xludf.DUMMYFUNCTION("IMPORTRANGE(""https://docs.google.com/spreadsheets/d/11923uPwbBZFjjGgGUA6NLw09EwE0CqkOc4q9oUmW1yo/edit?usp=sharing"",""พิจิตร!J503"")"),1)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IFERROR(__xludf.DUMMYFUNCTION("IMPORTRANGE(""https://docs.google.com/spreadsheets/d/11923uPwbBZFjjGgGUA6NLw09EwE0CqkOc4q9oUmW1yo/edit?usp=sharing"",""พิจิตร!J166"")"),0)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IFERROR(__xludf.DUMMYFUNCTION("IMPORTRANGE(""https://docs.google.com/spreadsheets/d/11923uPwbBZFjjGgGUA6NLw09EwE0CqkOc4q9oUmW1yo/edit?usp=sharing"",""พิจิตร!J166"")"),0)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IFERROR(__xludf.DUMMYFUNCTION("IMPORTRANGE(""https://docs.google.com/spreadsheets/d/11923uPwbBZFjjGgGUA6NLw09EwE0CqkOc4q9oUmW1yo/edit?usp=sharing"",""พิจิตร!I506"")"),50)</f>
        <v>50</v>
      </c>
      <c r="J611" s="162">
        <f ca="1">IFERROR(__xludf.DUMMYFUNCTION("IMPORTRANGE(""https://docs.google.com/spreadsheets/d/11923uPwbBZFjjGgGUA6NLw09EwE0CqkOc4q9oUmW1yo/edit?usp=sharing"",""พิจิตร!J506"")"),0)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IFERROR(__xludf.DUMMYFUNCTION("IMPORTRANGE(""https://docs.google.com/spreadsheets/d/11923uPwbBZFjjGgGUA6NLw09EwE0CqkOc4q9oUmW1yo/edit?usp=sharing"",""พิจิตร!I507"")"),0)</f>
        <v>0</v>
      </c>
      <c r="J612" s="197">
        <f ca="1">IFERROR(__xludf.DUMMYFUNCTION("IMPORTRANGE(""https://docs.google.com/spreadsheets/d/11923uPwbBZFjjGgGUA6NLw09EwE0CqkOc4q9oUmW1yo/edit?usp=sharing"",""พิจิตร!J507"")"),0)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IFERROR(__xludf.DUMMYFUNCTION("IMPORTRANGE(""https://docs.google.com/spreadsheets/d/11923uPwbBZFjjGgGUA6NLw09EwE0CqkOc4q9oUmW1yo/edit?usp=sharing"",""พิจิตร!I508"")"),0)</f>
        <v>0</v>
      </c>
      <c r="J613" s="197">
        <f ca="1">IFERROR(__xludf.DUMMYFUNCTION("IMPORTRANGE(""https://docs.google.com/spreadsheets/d/11923uPwbBZFjjGgGUA6NLw09EwE0CqkOc4q9oUmW1yo/edit?usp=sharing"",""พิจิตร!J508"")"),0)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IFERROR(__xludf.DUMMYFUNCTION("IMPORTRANGE(""https://docs.google.com/spreadsheets/d/11923uPwbBZFjjGgGUA6NLw09EwE0CqkOc4q9oUmW1yo/edit?usp=sharing"",""พิจิตร!I509"")"),0)</f>
        <v>0</v>
      </c>
      <c r="J614" s="197">
        <f ca="1">IFERROR(__xludf.DUMMYFUNCTION("IMPORTRANGE(""https://docs.google.com/spreadsheets/d/11923uPwbBZFjjGgGUA6NLw09EwE0CqkOc4q9oUmW1yo/edit?usp=sharing"",""พิจิตร!J509"")"),0)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IFERROR(__xludf.DUMMYFUNCTION("IMPORTRANGE(""https://docs.google.com/spreadsheets/d/11923uPwbBZFjjGgGUA6NLw09EwE0CqkOc4q9oUmW1yo/edit?usp=sharing"",""พิจิตร!I510"")"),0)</f>
        <v>0</v>
      </c>
      <c r="J615" s="197">
        <f ca="1">IFERROR(__xludf.DUMMYFUNCTION("IMPORTRANGE(""https://docs.google.com/spreadsheets/d/11923uPwbBZFjjGgGUA6NLw09EwE0CqkOc4q9oUmW1yo/edit?usp=sharing"",""พิจิตร!J510"")"),0)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IFERROR(__xludf.DUMMYFUNCTION("IMPORTRANGE(""https://docs.google.com/spreadsheets/d/11923uPwbBZFjjGgGUA6NLw09EwE0CqkOc4q9oUmW1yo/edit?usp=sharing"",""พิจิตร!I511"")"),0)</f>
        <v>0</v>
      </c>
      <c r="J616" s="197">
        <f ca="1">IFERROR(__xludf.DUMMYFUNCTION("IMPORTRANGE(""https://docs.google.com/spreadsheets/d/11923uPwbBZFjjGgGUA6NLw09EwE0CqkOc4q9oUmW1yo/edit?usp=sharing"",""พิจิตร!J511"")"),0)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IFERROR(__xludf.DUMMYFUNCTION("IMPORTRANGE(""https://docs.google.com/spreadsheets/d/11923uPwbBZFjjGgGUA6NLw09EwE0CqkOc4q9oUmW1yo/edit?usp=sharing"",""พิจิตร!I512"")"),0)</f>
        <v>0</v>
      </c>
      <c r="J617" s="187">
        <f ca="1">IFERROR(__xludf.DUMMYFUNCTION("IMPORTRANGE(""https://docs.google.com/spreadsheets/d/11923uPwbBZFjjGgGUA6NLw09EwE0CqkOc4q9oUmW1yo/edit?usp=sharing"",""พิจิตร!J512"")"),0)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IFERROR(__xludf.DUMMYFUNCTION("IMPORTRANGE(""https://docs.google.com/spreadsheets/d/11923uPwbBZFjjGgGUA6NLw09EwE0CqkOc4q9oUmW1yo/edit?usp=sharing"",""พิจิตร!I513"")"),0)</f>
        <v>0</v>
      </c>
      <c r="J618" s="188">
        <f ca="1">IFERROR(__xludf.DUMMYFUNCTION("IMPORTRANGE(""https://docs.google.com/spreadsheets/d/11923uPwbBZFjjGgGUA6NLw09EwE0CqkOc4q9oUmW1yo/edit?usp=sharing"",""พิจิตร!J513"")"),0)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IFERROR(__xludf.DUMMYFUNCTION("IMPORTRANGE(""https://docs.google.com/spreadsheets/d/11923uPwbBZFjjGgGUA6NLw09EwE0CqkOc4q9oUmW1yo/edit?usp=sharing"",""พิจิตร!I514"")"),0)</f>
        <v>0</v>
      </c>
      <c r="J619" s="188">
        <f ca="1">IFERROR(__xludf.DUMMYFUNCTION("IMPORTRANGE(""https://docs.google.com/spreadsheets/d/11923uPwbBZFjjGgGUA6NLw09EwE0CqkOc4q9oUmW1yo/edit?usp=sharing"",""พิจิตร!J514"")"),0)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IFERROR(__xludf.DUMMYFUNCTION("IMPORTRANGE(""https://docs.google.com/spreadsheets/d/11923uPwbBZFjjGgGUA6NLw09EwE0CqkOc4q9oUmW1yo/edit?usp=sharing"",""พิจิตร!I515"")"),0)</f>
        <v>0</v>
      </c>
      <c r="J620" s="202">
        <f ca="1">IFERROR(__xludf.DUMMYFUNCTION("IMPORTRANGE(""https://docs.google.com/spreadsheets/d/11923uPwbBZFjjGgGUA6NLw09EwE0CqkOc4q9oUmW1yo/edit?usp=sharing"",""พิจิตร!J515"")"),0)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IFERROR(__xludf.DUMMYFUNCTION("IMPORTRANGE(""https://docs.google.com/spreadsheets/d/11923uPwbBZFjjGgGUA6NLw09EwE0CqkOc4q9oUmW1yo/edit?usp=sharing"",""พิจิตร!I516"")"),0)</f>
        <v>0</v>
      </c>
      <c r="J621" s="202">
        <f ca="1">IFERROR(__xludf.DUMMYFUNCTION("IMPORTRANGE(""https://docs.google.com/spreadsheets/d/11923uPwbBZFjjGgGUA6NLw09EwE0CqkOc4q9oUmW1yo/edit?usp=sharing"",""พิจิตร!J516"")"),0)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IFERROR(__xludf.DUMMYFUNCTION("IMPORTRANGE(""https://docs.google.com/spreadsheets/d/11923uPwbBZFjjGgGUA6NLw09EwE0CqkOc4q9oUmW1yo/edit?usp=sharing"",""พิจิตร!I517"")"),0)</f>
        <v>0</v>
      </c>
      <c r="J622" s="188">
        <f ca="1">IFERROR(__xludf.DUMMYFUNCTION("IMPORTRANGE(""https://docs.google.com/spreadsheets/d/11923uPwbBZFjjGgGUA6NLw09EwE0CqkOc4q9oUmW1yo/edit?usp=sharing"",""พิจิตร!J517"")"),0)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IFERROR(__xludf.DUMMYFUNCTION("IMPORTRANGE(""https://docs.google.com/spreadsheets/d/11923uPwbBZFjjGgGUA6NLw09EwE0CqkOc4q9oUmW1yo/edit?usp=sharing"",""พิจิตร!I518"")"),0)</f>
        <v>0</v>
      </c>
      <c r="J623" s="188">
        <f ca="1">IFERROR(__xludf.DUMMYFUNCTION("IMPORTRANGE(""https://docs.google.com/spreadsheets/d/11923uPwbBZFjjGgGUA6NLw09EwE0CqkOc4q9oUmW1yo/edit?usp=sharing"",""พิจิตร!J518"")"),0)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IFERROR(__xludf.DUMMYFUNCTION("IMPORTRANGE(""https://docs.google.com/spreadsheets/d/11923uPwbBZFjjGgGUA6NLw09EwE0CqkOc4q9oUmW1yo/edit?usp=sharing"",""พิจิตร!I519"")"),0)</f>
        <v>0</v>
      </c>
      <c r="J624" s="187">
        <f ca="1">IFERROR(__xludf.DUMMYFUNCTION("IMPORTRANGE(""https://docs.google.com/spreadsheets/d/11923uPwbBZFjjGgGUA6NLw09EwE0CqkOc4q9oUmW1yo/edit?usp=sharing"",""พิจิตร!J519"")"),0)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IFERROR(__xludf.DUMMYFUNCTION("IMPORTRANGE(""https://docs.google.com/spreadsheets/d/11923uPwbBZFjjGgGUA6NLw09EwE0CqkOc4q9oUmW1yo/edit?usp=sharing"",""พิจิตร!I520"")"),0)</f>
        <v>0</v>
      </c>
      <c r="J625" s="188">
        <f ca="1">IFERROR(__xludf.DUMMYFUNCTION("IMPORTRANGE(""https://docs.google.com/spreadsheets/d/11923uPwbBZFjjGgGUA6NLw09EwE0CqkOc4q9oUmW1yo/edit?usp=sharing"",""พิจิตร!J520"")"),0)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IFERROR(__xludf.DUMMYFUNCTION("IMPORTRANGE(""https://docs.google.com/spreadsheets/d/11923uPwbBZFjjGgGUA6NLw09EwE0CqkOc4q9oUmW1yo/edit?usp=sharing"",""พิจิตร!I521"")"),0)</f>
        <v>0</v>
      </c>
      <c r="J626" s="188">
        <f ca="1">IFERROR(__xludf.DUMMYFUNCTION("IMPORTRANGE(""https://docs.google.com/spreadsheets/d/11923uPwbBZFjjGgGUA6NLw09EwE0CqkOc4q9oUmW1yo/edit?usp=sharing"",""พิจิตร!J521"")"),0)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IFERROR(__xludf.DUMMYFUNCTION("IMPORTRANGE(""https://docs.google.com/spreadsheets/d/11923uPwbBZFjjGgGUA6NLw09EwE0CqkOc4q9oUmW1yo/edit?usp=sharing"",""พิจิตร!I523"")"),2520250)</f>
        <v>2520250</v>
      </c>
      <c r="J628" s="341">
        <f ca="1">IFERROR(__xludf.DUMMYFUNCTION("IMPORTRANGE(""https://docs.google.com/spreadsheets/d/11923uPwbBZFjjGgGUA6NLw09EwE0CqkOc4q9oUmW1yo/edit?usp=sharing"",""พิจิตร!J523"")"),1711450)</f>
        <v>1711450</v>
      </c>
      <c r="K628" s="342">
        <f t="shared" ref="K628:K635" ca="1" si="129">IF(I628&gt;0,J628*100/I628,0)</f>
        <v>67.907945640313457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IFERROR(__xludf.DUMMYFUNCTION("IMPORTRANGE(""https://docs.google.com/spreadsheets/d/11923uPwbBZFjjGgGUA6NLw09EwE0CqkOc4q9oUmW1yo/edit?usp=sharing"",""พิจิตร!I524"")"),93)</f>
        <v>93</v>
      </c>
      <c r="J629" s="341">
        <f ca="1">IFERROR(__xludf.DUMMYFUNCTION("IMPORTRANGE(""https://docs.google.com/spreadsheets/d/11923uPwbBZFjjGgGUA6NLw09EwE0CqkOc4q9oUmW1yo/edit?usp=sharing"",""พิจิตร!J524"")"),60)</f>
        <v>60</v>
      </c>
      <c r="K629" s="342">
        <f t="shared" ca="1" si="129"/>
        <v>64.516129032258064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IFERROR(__xludf.DUMMYFUNCTION("IMPORTRANGE(""https://docs.google.com/spreadsheets/d/11923uPwbBZFjjGgGUA6NLw09EwE0CqkOc4q9oUmW1yo/edit?usp=sharing"",""พิจิตร!I525"")"),510790.7)</f>
        <v>510790.7</v>
      </c>
      <c r="J630" s="341">
        <f ca="1">IFERROR(__xludf.DUMMYFUNCTION("IMPORTRANGE(""https://docs.google.com/spreadsheets/d/11923uPwbBZFjjGgGUA6NLw09EwE0CqkOc4q9oUmW1yo/edit?usp=sharing"",""พิจิตร!J525"")"),77159.86)</f>
        <v>77159.86</v>
      </c>
      <c r="K630" s="342">
        <f t="shared" ca="1" si="129"/>
        <v>15.105964145392623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IFERROR(__xludf.DUMMYFUNCTION("IMPORTRANGE(""https://docs.google.com/spreadsheets/d/11923uPwbBZFjjGgGUA6NLw09EwE0CqkOc4q9oUmW1yo/edit?usp=sharing"",""พิจิตร!I526"")"),29)</f>
        <v>29</v>
      </c>
      <c r="J631" s="341">
        <f ca="1">IFERROR(__xludf.DUMMYFUNCTION("IMPORTRANGE(""https://docs.google.com/spreadsheets/d/11923uPwbBZFjjGgGUA6NLw09EwE0CqkOc4q9oUmW1yo/edit?usp=sharing"",""พิจิตร!J526"")"),18)</f>
        <v>18</v>
      </c>
      <c r="K631" s="342">
        <f t="shared" ca="1" si="129"/>
        <v>62.068965517241381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41">
        <f ca="1">IFERROR(__xludf.DUMMYFUNCTION("IMPORTRANGE(""https://docs.google.com/spreadsheets/d/11923uPwbBZFjjGgGUA6NLw09EwE0CqkOc4q9oUmW1yo/edit?usp=sharing"",""พิจิตร!J527"")"),2823282.19)</f>
        <v>2823282.19</v>
      </c>
      <c r="K632" s="342">
        <f t="shared" ca="1" si="129"/>
        <v>45.97540524213467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IFERROR(__xludf.DUMMYFUNCTION("IMPORTRANGE(""https://docs.google.com/spreadsheets/d/11923uPwbBZFjjGgGUA6NLw09EwE0CqkOc4q9oUmW1yo/edit?usp=sharing"",""พิจิตร!I528"")"),482)</f>
        <v>482</v>
      </c>
      <c r="J633" s="341">
        <f ca="1">IFERROR(__xludf.DUMMYFUNCTION("IMPORTRANGE(""https://docs.google.com/spreadsheets/d/11923uPwbBZFjjGgGUA6NLw09EwE0CqkOc4q9oUmW1yo/edit?usp=sharing"",""พิจิตร!J528"")"),423)</f>
        <v>423</v>
      </c>
      <c r="K633" s="342">
        <f t="shared" ca="1" si="129"/>
        <v>87.759336099585056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IFERROR(__xludf.DUMMYFUNCTION("IMPORTRANGE(""https://docs.google.com/spreadsheets/d/11923uPwbBZFjjGgGUA6NLw09EwE0CqkOc4q9oUmW1yo/edit?usp=sharing"",""พิจิตร!I529"")"),2320000)</f>
        <v>2320000</v>
      </c>
      <c r="J634" s="341">
        <f ca="1">IFERROR(__xludf.DUMMYFUNCTION("IMPORTRANGE(""https://docs.google.com/spreadsheets/d/11923uPwbBZFjjGgGUA6NLw09EwE0CqkOc4q9oUmW1yo/edit?usp=sharing"",""พิจิตร!J529"")"),1590000)</f>
        <v>1590000</v>
      </c>
      <c r="K634" s="342">
        <f t="shared" ca="1" si="129"/>
        <v>68.534482758620683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IFERROR(__xludf.DUMMYFUNCTION("IMPORTRANGE(""https://docs.google.com/spreadsheets/d/11923uPwbBZFjjGgGUA6NLw09EwE0CqkOc4q9oUmW1yo/edit?usp=sharing"",""พิจิตร!I530"")"),87)</f>
        <v>87</v>
      </c>
      <c r="J635" s="505">
        <f ca="1">IFERROR(__xludf.DUMMYFUNCTION("IMPORTRANGE(""https://docs.google.com/spreadsheets/d/11923uPwbBZFjjGgGUA6NLw09EwE0CqkOc4q9oUmW1yo/edit?usp=sharing"",""พิจิตร!J530"")"),54)</f>
        <v>54</v>
      </c>
      <c r="K635" s="487">
        <f t="shared" ca="1" si="129"/>
        <v>62.068965517241381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21330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21330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21330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IFERROR(__xludf.DUMMYFUNCTION("IMPORTRANGE(""https://docs.google.com/spreadsheets/d/11923uPwbBZFjjGgGUA6NLw09EwE0CqkOc4q9oUmW1yo/edit?usp=sharing"",""พิจิตร!J541"")"),0)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IFERROR(__xludf.DUMMYFUNCTION("IMPORTRANGE(""https://docs.google.com/spreadsheets/d/11923uPwbBZFjjGgGUA6NLw09EwE0CqkOc4q9oUmW1yo/edit?usp=sharing"",""พิจิตร!J542"")"),0)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IFERROR(__xludf.DUMMYFUNCTION("IMPORTRANGE(""https://docs.google.com/spreadsheets/d/11923uPwbBZFjjGgGUA6NLw09EwE0CqkOc4q9oUmW1yo/edit?usp=sharing"",""พิจิตร!I543"")"),0)</f>
        <v>0</v>
      </c>
      <c r="J648" s="536">
        <f ca="1">IFERROR(__xludf.DUMMYFUNCTION("IMPORTRANGE(""https://docs.google.com/spreadsheets/d/11923uPwbBZFjjGgGUA6NLw09EwE0CqkOc4q9oUmW1yo/edit?usp=sharing"",""พิจิตร!J543"")"),0)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IFERROR(__xludf.DUMMYFUNCTION("IMPORTRANGE(""https://docs.google.com/spreadsheets/d/11923uPwbBZFjjGgGUA6NLw09EwE0CqkOc4q9oUmW1yo/edit?usp=sharing"",""พิจิตร!L543"")"),0)</f>
        <v>0</v>
      </c>
      <c r="M648" s="521"/>
      <c r="N648" s="538">
        <f ca="1">IFERROR(__xludf.DUMMYFUNCTION("IMPORTRANGE(""https://docs.google.com/spreadsheets/d/11923uPwbBZFjjGgGUA6NLw09EwE0CqkOc4q9oUmW1yo/edit?usp=sharing"",""พิจิตร!M543"")"),0)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IFERROR(__xludf.DUMMYFUNCTION("IMPORTRANGE(""https://docs.google.com/spreadsheets/d/11923uPwbBZFjjGgGUA6NLw09EwE0CqkOc4q9oUmW1yo/edit?usp=sharing"",""พิจิตร!I544"")"),0)</f>
        <v>0</v>
      </c>
      <c r="J649" s="536">
        <f ca="1">IFERROR(__xludf.DUMMYFUNCTION("IMPORTRANGE(""https://docs.google.com/spreadsheets/d/11923uPwbBZFjjGgGUA6NLw09EwE0CqkOc4q9oUmW1yo/edit?usp=sharing"",""พิจิตร!J544"")"),0)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IFERROR(__xludf.DUMMYFUNCTION("IMPORTRANGE(""https://docs.google.com/spreadsheets/d/11923uPwbBZFjjGgGUA6NLw09EwE0CqkOc4q9oUmW1yo/edit?usp=sharing"",""พิจิตร!L544"")"),0)</f>
        <v>0</v>
      </c>
      <c r="M649" s="521"/>
      <c r="N649" s="538">
        <f ca="1">IFERROR(__xludf.DUMMYFUNCTION("IMPORTRANGE(""https://docs.google.com/spreadsheets/d/11923uPwbBZFjjGgGUA6NLw09EwE0CqkOc4q9oUmW1yo/edit?usp=sharing"",""พิจิตร!M544"")"),0)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IFERROR(__xludf.DUMMYFUNCTION("IMPORTRANGE(""https://docs.google.com/spreadsheets/d/11923uPwbBZFjjGgGUA6NLw09EwE0CqkOc4q9oUmW1yo/edit?usp=sharing"",""พิจิตร!I545"")"),200)</f>
        <v>200</v>
      </c>
      <c r="J650" s="536">
        <f ca="1">IFERROR(__xludf.DUMMYFUNCTION("IMPORTRANGE(""https://docs.google.com/spreadsheets/d/11923uPwbBZFjjGgGUA6NLw09EwE0CqkOc4q9oUmW1yo/edit?usp=sharing"",""พิจิตร!J545"")"),0)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IFERROR(__xludf.DUMMYFUNCTION("IMPORTRANGE(""https://docs.google.com/spreadsheets/d/11923uPwbBZFjjGgGUA6NLw09EwE0CqkOc4q9oUmW1yo/edit?usp=sharing"",""พิจิตร!L545"")"),1000)</f>
        <v>1000</v>
      </c>
      <c r="M650" s="521"/>
      <c r="N650" s="538">
        <f ca="1">IFERROR(__xludf.DUMMYFUNCTION("IMPORTRANGE(""https://docs.google.com/spreadsheets/d/11923uPwbBZFjjGgGUA6NLw09EwE0CqkOc4q9oUmW1yo/edit?usp=sharing"",""พิจิตร!M545"")"),0)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IFERROR(__xludf.DUMMYFUNCTION("IMPORTRANGE(""https://docs.google.com/spreadsheets/d/11923uPwbBZFjjGgGUA6NLw09EwE0CqkOc4q9oUmW1yo/edit?usp=sharing"",""พิจิตร!I546"")"),90)</f>
        <v>90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IFERROR(__xludf.DUMMYFUNCTION("IMPORTRANGE(""https://docs.google.com/spreadsheets/d/11923uPwbBZFjjGgGUA6NLw09EwE0CqkOc4q9oUmW1yo/edit?usp=sharing"",""พิจิตร!L546"")"),2250)</f>
        <v>2250</v>
      </c>
      <c r="M651" s="521"/>
      <c r="N651" s="538">
        <f ca="1">IFERROR(__xludf.DUMMYFUNCTION("IMPORTRANGE(""https://docs.google.com/spreadsheets/d/11923uPwbBZFjjGgGUA6NLw09EwE0CqkOc4q9oUmW1yo/edit?usp=sharing"",""พิจิตร!M546"")"),0)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IFERROR(__xludf.DUMMYFUNCTION("IMPORTRANGE(""https://docs.google.com/spreadsheets/d/11923uPwbBZFjjGgGUA6NLw09EwE0CqkOc4q9oUmW1yo/edit?usp=sharing"",""พิจิตร!J547"")"),0)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IFERROR(__xludf.DUMMYFUNCTION("IMPORTRANGE(""https://docs.google.com/spreadsheets/d/11923uPwbBZFjjGgGUA6NLw09EwE0CqkOc4q9oUmW1yo/edit?usp=sharing"",""พิจิตร!J548"")"),0)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IFERROR(__xludf.DUMMYFUNCTION("IMPORTRANGE(""https://docs.google.com/spreadsheets/d/11923uPwbBZFjjGgGUA6NLw09EwE0CqkOc4q9oUmW1yo/edit?usp=sharing"",""พิจิตร!J550"")"),0)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IFERROR(__xludf.DUMMYFUNCTION("IMPORTRANGE(""https://docs.google.com/spreadsheets/d/11923uPwbBZFjjGgGUA6NLw09EwE0CqkOc4q9oUmW1yo/edit?usp=sharing"",""พิจิตร!J551"")"),0)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IFERROR(__xludf.DUMMYFUNCTION("IMPORTRANGE(""https://docs.google.com/spreadsheets/d/11923uPwbBZFjjGgGUA6NLw09EwE0CqkOc4q9oUmW1yo/edit?usp=sharing"",""พิจิตร!J552"")"),0)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IFERROR(__xludf.DUMMYFUNCTION("IMPORTRANGE(""https://docs.google.com/spreadsheets/d/11923uPwbBZFjjGgGUA6NLw09EwE0CqkOc4q9oUmW1yo/edit?usp=sharing"",""พิจิตร!J553"")"),0)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IFERROR(__xludf.DUMMYFUNCTION("IMPORTRANGE(""https://docs.google.com/spreadsheets/d/11923uPwbBZFjjGgGUA6NLw09EwE0CqkOc4q9oUmW1yo/edit?usp=sharing"",""พิจิตร!J554"")"),0)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IFERROR(__xludf.DUMMYFUNCTION("IMPORTRANGE(""https://docs.google.com/spreadsheets/d/11923uPwbBZFjjGgGUA6NLw09EwE0CqkOc4q9oUmW1yo/edit?usp=sharing"",""พิจิตร!J555"")"),0)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IFERROR(__xludf.DUMMYFUNCTION("IMPORTRANGE(""https://docs.google.com/spreadsheets/d/11923uPwbBZFjjGgGUA6NLw09EwE0CqkOc4q9oUmW1yo/edit?usp=sharing"",""พิจิตร!J556"")"),0)</f>
        <v>0</v>
      </c>
      <c r="K661" s="537"/>
      <c r="L661" s="522">
        <f ca="1">IFERROR(__xludf.DUMMYFUNCTION("IMPORTRANGE(""https://docs.google.com/spreadsheets/d/11923uPwbBZFjjGgGUA6NLw09EwE0CqkOc4q9oUmW1yo/edit?usp=sharing"",""พิจิตร!L556"")"),16000)</f>
        <v>16000</v>
      </c>
      <c r="M661" s="521"/>
      <c r="N661" s="538">
        <f ca="1">IFERROR(__xludf.DUMMYFUNCTION("IMPORTRANGE(""https://docs.google.com/spreadsheets/d/11923uPwbBZFjjGgGUA6NLw09EwE0CqkOc4q9oUmW1yo/edit?usp=sharing"",""พิจิตร!M556"")"),0)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IFERROR(__xludf.DUMMYFUNCTION("IMPORTRANGE(""https://docs.google.com/spreadsheets/d/11923uPwbBZFjjGgGUA6NLw09EwE0CqkOc4q9oUmW1yo/edit?usp=sharing"",""พิจิตร!J557"")"),0)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IFERROR(__xludf.DUMMYFUNCTION("IMPORTRANGE(""https://docs.google.com/spreadsheets/d/11923uPwbBZFjjGgGUA6NLw09EwE0CqkOc4q9oUmW1yo/edit?usp=sharing"",""พิจิตร!I558"")"),400)</f>
        <v>400</v>
      </c>
      <c r="J663" s="536">
        <f ca="1">IFERROR(__xludf.DUMMYFUNCTION("IMPORTRANGE(""https://docs.google.com/spreadsheets/d/11923uPwbBZFjjGgGUA6NLw09EwE0CqkOc4q9oUmW1yo/edit?usp=sharing"",""พิจิตร!J558"")"),0)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IFERROR(__xludf.DUMMYFUNCTION("IMPORTRANGE(""https://docs.google.com/spreadsheets/d/11923uPwbBZFjjGgGUA6NLw09EwE0CqkOc4q9oUmW1yo/edit?usp=sharing"",""พิจิตร!I560"")"),3)</f>
        <v>3</v>
      </c>
      <c r="J665" s="536">
        <f ca="1">IFERROR(__xludf.DUMMYFUNCTION("IMPORTRANGE(""https://docs.google.com/spreadsheets/d/11923uPwbBZFjjGgGUA6NLw09EwE0CqkOc4q9oUmW1yo/edit?usp=sharing"",""พิจิตร!J560"")"),0)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IFERROR(__xludf.DUMMYFUNCTION("IMPORTRANGE(""https://docs.google.com/spreadsheets/d/11923uPwbBZFjjGgGUA6NLw09EwE0CqkOc4q9oUmW1yo/edit?usp=sharing"",""พิจิตร!L560"")"),360)</f>
        <v>360</v>
      </c>
      <c r="M665" s="521"/>
      <c r="N665" s="538">
        <f ca="1">IFERROR(__xludf.DUMMYFUNCTION("IMPORTRANGE(""https://docs.google.com/spreadsheets/d/11923uPwbBZFjjGgGUA6NLw09EwE0CqkOc4q9oUmW1yo/edit?usp=sharing"",""พิจิตร!M560"")"),0)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IFERROR(__xludf.DUMMYFUNCTION("IMPORTRANGE(""https://docs.google.com/spreadsheets/d/11923uPwbBZFjjGgGUA6NLw09EwE0CqkOc4q9oUmW1yo/edit?usp=sharing"",""พิจิตร!J561"")"),0)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IFERROR(__xludf.DUMMYFUNCTION("IMPORTRANGE(""https://docs.google.com/spreadsheets/d/11923uPwbBZFjjGgGUA6NLw09EwE0CqkOc4q9oUmW1yo/edit?usp=sharing"",""พิจิตร!J562"")"),0)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IFERROR(__xludf.DUMMYFUNCTION("IMPORTRANGE(""https://docs.google.com/spreadsheets/d/11923uPwbBZFjjGgGUA6NLw09EwE0CqkOc4q9oUmW1yo/edit?usp=sharing"",""พิจิตร!I563"")"),1)</f>
        <v>1</v>
      </c>
      <c r="J668" s="536">
        <f ca="1">IFERROR(__xludf.DUMMYFUNCTION("IMPORTRANGE(""https://docs.google.com/spreadsheets/d/11923uPwbBZFjjGgGUA6NLw09EwE0CqkOc4q9oUmW1yo/edit?usp=sharing"",""พิจิตร!J563"")"),0)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IFERROR(__xludf.DUMMYFUNCTION("IMPORTRANGE(""https://docs.google.com/spreadsheets/d/11923uPwbBZFjjGgGUA6NLw09EwE0CqkOc4q9oUmW1yo/edit?usp=sharing"",""พิจิตร!L563"")"),1720)</f>
        <v>1720</v>
      </c>
      <c r="M668" s="521"/>
      <c r="N668" s="538">
        <f ca="1">IFERROR(__xludf.DUMMYFUNCTION("IMPORTRANGE(""https://docs.google.com/spreadsheets/d/11923uPwbBZFjjGgGUA6NLw09EwE0CqkOc4q9oUmW1yo/edit?usp=sharing"",""พิจิตร!M563"")"),0)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IFERROR(__xludf.DUMMYFUNCTION("IMPORTRANGE(""https://docs.google.com/spreadsheets/d/11923uPwbBZFjjGgGUA6NLw09EwE0CqkOc4q9oUmW1yo/edit?usp=sharing"",""พิจิตร!J564"")"),0)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IFERROR(__xludf.DUMMYFUNCTION("IMPORTRANGE(""https://docs.google.com/spreadsheets/d/11923uPwbBZFjjGgGUA6NLw09EwE0CqkOc4q9oUmW1yo/edit?usp=sharing"",""พิจิตร!J565"")"),0)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IFERROR(__xludf.DUMMYFUNCTION("IMPORTRANGE(""https://docs.google.com/spreadsheets/d/11923uPwbBZFjjGgGUA6NLw09EwE0CqkOc4q9oUmW1yo/edit?usp=sharing"",""พิจิตร!I566"")"),0)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IFERROR(__xludf.DUMMYFUNCTION("IMPORTRANGE(""https://docs.google.com/spreadsheets/d/11923uPwbBZFjjGgGUA6NLw09EwE0CqkOc4q9oUmW1yo/edit?usp=sharing"",""พิจิตร!L566"")"),0)</f>
        <v>0</v>
      </c>
      <c r="M671" s="521"/>
      <c r="N671" s="538">
        <f ca="1">IFERROR(__xludf.DUMMYFUNCTION("IMPORTRANGE(""https://docs.google.com/spreadsheets/d/11923uPwbBZFjjGgGUA6NLw09EwE0CqkOc4q9oUmW1yo/edit?usp=sharing"",""พิจิตร!M566"")"),0)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IFERROR(__xludf.DUMMYFUNCTION("IMPORTRANGE(""https://docs.google.com/spreadsheets/d/11923uPwbBZFjjGgGUA6NLw09EwE0CqkOc4q9oUmW1yo/edit?usp=sharing"",""พิจิตร!J567"")"),0)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IFERROR(__xludf.DUMMYFUNCTION("IMPORTRANGE(""https://docs.google.com/spreadsheets/d/11923uPwbBZFjjGgGUA6NLw09EwE0CqkOc4q9oUmW1yo/edit?usp=sharing"",""พิจิตร!J568"")"),0)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IFERROR(__xludf.DUMMYFUNCTION("IMPORTRANGE(""https://docs.google.com/spreadsheets/d/11923uPwbBZFjjGgGUA6NLw09EwE0CqkOc4q9oUmW1yo/edit?usp=sharing"",""พิจิตร!J569"")"),0)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IFERROR(__xludf.DUMMYFUNCTION("IMPORTRANGE(""https://docs.google.com/spreadsheets/d/11923uPwbBZFjjGgGUA6NLw09EwE0CqkOc4q9oUmW1yo/edit?usp=sharing"",""พิจิตร!J570"")"),0)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IFERROR(__xludf.DUMMYFUNCTION("IMPORTRANGE(""https://docs.google.com/spreadsheets/d/11923uPwbBZFjjGgGUA6NLw09EwE0CqkOc4q9oUmW1yo/edit?usp=sharing"",""พิจิตร!J571"")"),0)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IFERROR(__xludf.DUMMYFUNCTION("IMPORTRANGE(""https://docs.google.com/spreadsheets/d/11923uPwbBZFjjGgGUA6NLw09EwE0CqkOc4q9oUmW1yo/edit?usp=sharing"",""พิจิตร!J572"")"),0)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3:P3"/>
    <mergeCell ref="A2:P2"/>
    <mergeCell ref="A1:P1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2022-07-20T02:32:10Z</cp:lastPrinted>
  <dcterms:modified xsi:type="dcterms:W3CDTF">2022-07-20T02:32:18Z</dcterms:modified>
</cp:coreProperties>
</file>